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4" activeTab="4"/>
  </bookViews>
  <sheets>
    <sheet name="администрация" sheetId="1" r:id="rId1"/>
    <sheet name="культура" sheetId="2" r:id="rId2"/>
    <sheet name="штатн.расп.1" sheetId="3" r:id="rId3"/>
    <sheet name="штатное админ" sheetId="4" r:id="rId4"/>
    <sheet name="2013" sheetId="5" r:id="rId5"/>
  </sheets>
  <definedNames/>
  <calcPr fullCalcOnLoad="1"/>
</workbook>
</file>

<file path=xl/comments5.xml><?xml version="1.0" encoding="utf-8"?>
<comments xmlns="http://schemas.openxmlformats.org/spreadsheetml/2006/main">
  <authors>
    <author>*</author>
  </authors>
  <commentList>
    <comment ref="D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<sst xmlns="http://schemas.openxmlformats.org/spreadsheetml/2006/main" count="293" uniqueCount="170">
  <si>
    <t>Итого</t>
  </si>
  <si>
    <t>Всего</t>
  </si>
  <si>
    <t>з/плата</t>
  </si>
  <si>
    <t>начисления на з/пл</t>
  </si>
  <si>
    <t>проезд в отпуск</t>
  </si>
  <si>
    <t>кол-во</t>
  </si>
  <si>
    <t>ст-ть</t>
  </si>
  <si>
    <t>суточные</t>
  </si>
  <si>
    <t>льготы по ком.услугам</t>
  </si>
  <si>
    <t>в т.ч.</t>
  </si>
  <si>
    <t xml:space="preserve">дрова </t>
  </si>
  <si>
    <t>эл.энергия</t>
  </si>
  <si>
    <t>кв.плата</t>
  </si>
  <si>
    <t>итого</t>
  </si>
  <si>
    <t>телефон</t>
  </si>
  <si>
    <t>почт.расх</t>
  </si>
  <si>
    <t>проезд в команд</t>
  </si>
  <si>
    <t>трансп.расходы</t>
  </si>
  <si>
    <t>отопление</t>
  </si>
  <si>
    <t>эл/энергия</t>
  </si>
  <si>
    <t>водоснабжен</t>
  </si>
  <si>
    <t>содерж.помещ</t>
  </si>
  <si>
    <t>кап.ремонт</t>
  </si>
  <si>
    <t>период.печать</t>
  </si>
  <si>
    <t>информ.обеспеч</t>
  </si>
  <si>
    <t>котельно-печное топл</t>
  </si>
  <si>
    <t>прочие расх</t>
  </si>
  <si>
    <t>бумага</t>
  </si>
  <si>
    <t>смс</t>
  </si>
  <si>
    <t>хоз.расх</t>
  </si>
  <si>
    <t>переговоры,(мин)</t>
  </si>
  <si>
    <t>стулья</t>
  </si>
  <si>
    <t>канц.расх</t>
  </si>
  <si>
    <t>строит.материалы</t>
  </si>
  <si>
    <t>прожив.в команд</t>
  </si>
  <si>
    <t xml:space="preserve">Штатное  расписание  администрации  </t>
  </si>
  <si>
    <t>№ п/п</t>
  </si>
  <si>
    <t>Наименование  должности</t>
  </si>
  <si>
    <t>ФИО</t>
  </si>
  <si>
    <t>Кол-во штатных единиц</t>
  </si>
  <si>
    <t>Должностной оклад</t>
  </si>
  <si>
    <t xml:space="preserve"> надбавка  за выслугу лет</t>
  </si>
  <si>
    <t xml:space="preserve"> надбавка  за особые условия  муниц службы</t>
  </si>
  <si>
    <t xml:space="preserve"> надбавка  за работу со св-ми, сост-щими гостайну  </t>
  </si>
  <si>
    <t>Единовременная выплата к отпуску в расчете на месяц</t>
  </si>
  <si>
    <t>Итого денежное вознаграждение</t>
  </si>
  <si>
    <t>Ежемесячное денежное поощрение</t>
  </si>
  <si>
    <t>Ежеквартальное денежное поощрение</t>
  </si>
  <si>
    <t>Районный коэффициент, северные надбавки</t>
  </si>
  <si>
    <t>Размер  оплаты  труда</t>
  </si>
  <si>
    <t>% надбавки</t>
  </si>
  <si>
    <t>сумма</t>
  </si>
  <si>
    <t>Глава  поселения</t>
  </si>
  <si>
    <t>Годовой фонд оплаты  труда</t>
  </si>
  <si>
    <t>Оклад  за классный чин</t>
  </si>
  <si>
    <t>Районный коэффициент</t>
  </si>
  <si>
    <t>Северная надбавка</t>
  </si>
  <si>
    <t>Размер оплаты труда</t>
  </si>
  <si>
    <t>% допл</t>
  </si>
  <si>
    <t>Премия за выполнение особо важных заданий</t>
  </si>
  <si>
    <t>Единовременная выплата к отпуску</t>
  </si>
  <si>
    <t xml:space="preserve"> надбавка  за сложность</t>
  </si>
  <si>
    <t>Уборщица</t>
  </si>
  <si>
    <t>увеличение на 37,5%=</t>
  </si>
  <si>
    <t>Премия по результатам работы</t>
  </si>
  <si>
    <t>Материальная помощь в отпуск</t>
  </si>
  <si>
    <t>Увеличение з/платы с 01.05.06г. на 37,5%</t>
  </si>
  <si>
    <t>Годовой фонд оплаты труда</t>
  </si>
  <si>
    <t>Всего фонд оплаты  труда на год</t>
  </si>
  <si>
    <t>Муниципальные служащие</t>
  </si>
  <si>
    <t>Главный специалист</t>
  </si>
  <si>
    <t>Технические исполнители  и рабочие</t>
  </si>
  <si>
    <t>Оплата труда и начисления на оплату труда</t>
  </si>
  <si>
    <t>Прочие расходы</t>
  </si>
  <si>
    <t xml:space="preserve">   Наименование расходов</t>
  </si>
  <si>
    <t xml:space="preserve">код БК </t>
  </si>
  <si>
    <t>Приобретение услуг</t>
  </si>
  <si>
    <t>0102</t>
  </si>
  <si>
    <t>0104</t>
  </si>
  <si>
    <t>Органы местного управления - всего</t>
  </si>
  <si>
    <t>0100</t>
  </si>
  <si>
    <t>0801</t>
  </si>
  <si>
    <t>Культура всего</t>
  </si>
  <si>
    <t>0800</t>
  </si>
  <si>
    <t>Всего расходов</t>
  </si>
  <si>
    <t>Глава поселения</t>
  </si>
  <si>
    <t>Администрация  поселения</t>
  </si>
  <si>
    <t>Смета расходов  на содержание  администрации</t>
  </si>
  <si>
    <t>на 2006г.</t>
  </si>
  <si>
    <t>Стол</t>
  </si>
  <si>
    <t>Сейф</t>
  </si>
  <si>
    <t>Шкаф книжный</t>
  </si>
  <si>
    <t>Заместитель  главы -специалист по бюджету, налогам</t>
  </si>
  <si>
    <t>(1548+464,4)*2*2,2=</t>
  </si>
  <si>
    <t>(1548+464,4)*3*2,2=</t>
  </si>
  <si>
    <t>Рабочий</t>
  </si>
  <si>
    <t>Сторож</t>
  </si>
  <si>
    <t>телевизор</t>
  </si>
  <si>
    <t>4990*3*2,2=</t>
  </si>
  <si>
    <t>4990*2*2,2=</t>
  </si>
  <si>
    <t>6175,13*8месяцев=</t>
  </si>
  <si>
    <t>Утверждаю:</t>
  </si>
  <si>
    <t>____________________</t>
  </si>
  <si>
    <t>Глава поселения   Буев Н.А.</t>
  </si>
  <si>
    <t xml:space="preserve">Глава МО </t>
  </si>
  <si>
    <t>Родина И.И.</t>
  </si>
  <si>
    <t>Алексеевского</t>
  </si>
  <si>
    <t>муниципального  образования на 2006г.</t>
  </si>
  <si>
    <t>Алексеевского сельского поселения</t>
  </si>
  <si>
    <t>Компьютер</t>
  </si>
  <si>
    <t>принтер</t>
  </si>
  <si>
    <t>ксерокс</t>
  </si>
  <si>
    <t>представ.расходы</t>
  </si>
  <si>
    <t>прочие услуги</t>
  </si>
  <si>
    <t>Автомашина УАЗ</t>
  </si>
  <si>
    <t>приобр.программы</t>
  </si>
  <si>
    <t>Ведущий специалист</t>
  </si>
  <si>
    <t>Специалист 1 категории</t>
  </si>
  <si>
    <t>Специалист 2 категории</t>
  </si>
  <si>
    <t>Специалист</t>
  </si>
  <si>
    <t>7020*2*2,2</t>
  </si>
  <si>
    <t>7020*3*2,2</t>
  </si>
  <si>
    <t>3515*2*2,2</t>
  </si>
  <si>
    <t>3515*3*2,2</t>
  </si>
  <si>
    <t>4349,81*37,5%</t>
  </si>
  <si>
    <t>Водитель</t>
  </si>
  <si>
    <t>Глава поселения     Родина И.И.</t>
  </si>
  <si>
    <t>Транспортные услуги в границах поселения</t>
  </si>
  <si>
    <t xml:space="preserve">Содержание автомобильных  дорог общего  пользования в границах поселения </t>
  </si>
  <si>
    <t>Социал. обеспечение</t>
  </si>
  <si>
    <t>0107</t>
  </si>
  <si>
    <t>Субвенция на осуществление полномочий по первичному воинскому учету, где отсутствуют военные комиссариаты</t>
  </si>
  <si>
    <t>(тыс.рублей)</t>
  </si>
  <si>
    <t>0203</t>
  </si>
  <si>
    <t>0503</t>
  </si>
  <si>
    <t>клуб</t>
  </si>
  <si>
    <t>библиотека</t>
  </si>
  <si>
    <t>Мобилизационная  и вневойсковая 
подготовка</t>
  </si>
  <si>
    <t>Благоустройство</t>
  </si>
  <si>
    <t>уличное освещение</t>
  </si>
  <si>
    <t>прочие мероприятия по благоустройству гордских округов  и поселений</t>
  </si>
  <si>
    <t>резервный фонд</t>
  </si>
  <si>
    <t>Резервный фонд</t>
  </si>
  <si>
    <t>0111</t>
  </si>
  <si>
    <t>Собственные доходы</t>
  </si>
  <si>
    <t>Субсидия из областного бюджета 
на зарплату</t>
  </si>
  <si>
    <t xml:space="preserve">Субвенция на осуществления полномочий
 по первичному воинскому учету </t>
  </si>
  <si>
    <t>ИТОГО доходов</t>
  </si>
  <si>
    <t>размер дефицита   5%</t>
  </si>
  <si>
    <t>Дотация из регионального фонда фин.
поддержки поселений</t>
  </si>
  <si>
    <t>Дотация из районного фонда 
финансовой поддержки</t>
  </si>
  <si>
    <t>Обеспечение проведения выборов 
и референдумов</t>
  </si>
  <si>
    <t>проведение  выборов</t>
  </si>
  <si>
    <t>0314</t>
  </si>
  <si>
    <t>Другие вопросы  в области национальной 
 безопасности и правоохранительной  деятельности</t>
  </si>
  <si>
    <t>0409</t>
  </si>
  <si>
    <t>Дорожное хозяйство 
(дорожные фонды)</t>
  </si>
  <si>
    <t>содео=ржание мест захоронения</t>
  </si>
  <si>
    <t>субвенции  по передаче полномочий  на
 разработку генерального плана</t>
  </si>
  <si>
    <t xml:space="preserve">субвенции по предаче полномочий  
на разработку правил землепользования 
и застройки поселений </t>
  </si>
  <si>
    <t>субвенции по передаче  полномочий 
на разработку генерального плана</t>
  </si>
  <si>
    <t>субвенция на осуществление переданных
 полномочий по размещению заказов</t>
  </si>
  <si>
    <t>субвенция на осущенствление переданных полномочий по ГО и ЧС</t>
  </si>
  <si>
    <t>субвенция на осуществление переданных полномочий по исполнению  местного бюджета</t>
  </si>
  <si>
    <t>Прочие межбюджетные трансферты бюджетам субъектов РФ и муниципальных образований общего характера</t>
  </si>
  <si>
    <t>Субсидия из областного бюджета (культура)
на зарплату</t>
  </si>
  <si>
    <t>Глава администрации Макаровского МО</t>
  </si>
  <si>
    <t>П.В.Монаков</t>
  </si>
  <si>
    <t>з/п культ за 9 мес</t>
  </si>
  <si>
    <t>Расходы Макаровского сельского поселения на 2013год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</si>
</sst>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Bodoni MT"/>
      <family val="1"/>
    </font>
    <font>
      <sz val="8"/>
      <name val="Bodoni MT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2"/>
    </font>
    <font>
      <b/>
      <sz val="8"/>
      <name val="Bodoni MT"/>
      <family val="1"/>
    </font>
    <font>
      <b/>
      <sz val="8"/>
      <name val="Arial Cyr"/>
      <family val="2"/>
    </font>
    <font>
      <sz val="7"/>
      <name val="Bodoni MT"/>
      <family val="0"/>
    </font>
    <font>
      <sz val="9"/>
      <name val="Bodoni MT"/>
      <family val="1"/>
    </font>
    <font>
      <sz val="9"/>
      <name val="Arial Cyr"/>
      <family val="2"/>
    </font>
    <font>
      <b/>
      <sz val="9"/>
      <name val="Arial Cyr"/>
      <family val="0"/>
    </font>
    <font>
      <b/>
      <sz val="11"/>
      <name val="Bodoni MT"/>
      <family val="1"/>
    </font>
    <font>
      <b/>
      <sz val="10"/>
      <name val="Bodoni MT"/>
      <family val="0"/>
    </font>
    <font>
      <b/>
      <sz val="7"/>
      <name val="Bodoni MT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20" fontId="11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/>
    </xf>
    <xf numFmtId="164" fontId="2" fillId="34" borderId="10" xfId="0" applyNumberFormat="1" applyFont="1" applyFill="1" applyBorder="1" applyAlignment="1">
      <alignment/>
    </xf>
    <xf numFmtId="164" fontId="16" fillId="3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/>
    </xf>
    <xf numFmtId="49" fontId="16" fillId="33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2" fontId="19" fillId="34" borderId="10" xfId="0" applyNumberFormat="1" applyFont="1" applyFill="1" applyBorder="1" applyAlignment="1">
      <alignment/>
    </xf>
    <xf numFmtId="164" fontId="19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164" fontId="20" fillId="34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20" fillId="35" borderId="14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/>
    </xf>
    <xf numFmtId="0" fontId="21" fillId="35" borderId="10" xfId="0" applyFont="1" applyFill="1" applyBorder="1" applyAlignment="1" quotePrefix="1">
      <alignment horizontal="left"/>
    </xf>
    <xf numFmtId="2" fontId="1" fillId="35" borderId="10" xfId="0" applyNumberFormat="1" applyFont="1" applyFill="1" applyBorder="1" applyAlignment="1">
      <alignment/>
    </xf>
    <xf numFmtId="2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left"/>
    </xf>
    <xf numFmtId="0" fontId="22" fillId="33" borderId="17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9" fontId="1" fillId="36" borderId="12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 wrapText="1"/>
    </xf>
    <xf numFmtId="0" fontId="21" fillId="37" borderId="18" xfId="0" applyFont="1" applyFill="1" applyBorder="1" applyAlignment="1">
      <alignment wrapText="1"/>
    </xf>
    <xf numFmtId="0" fontId="16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7" borderId="19" xfId="0" applyNumberFormat="1" applyFont="1" applyFill="1" applyBorder="1" applyAlignment="1">
      <alignment horizontal="center"/>
    </xf>
    <xf numFmtId="49" fontId="16" fillId="34" borderId="13" xfId="0" applyNumberFormat="1" applyFont="1" applyFill="1" applyBorder="1" applyAlignment="1">
      <alignment horizontal="center"/>
    </xf>
    <xf numFmtId="0" fontId="23" fillId="34" borderId="13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0" fontId="22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 wrapText="1"/>
    </xf>
    <xf numFmtId="0" fontId="22" fillId="36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20" xfId="0" applyFont="1" applyBorder="1" applyAlignment="1">
      <alignment horizontal="right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6">
      <selection activeCell="D4" sqref="D4"/>
    </sheetView>
  </sheetViews>
  <sheetFormatPr defaultColWidth="9.00390625" defaultRowHeight="12.75"/>
  <cols>
    <col min="2" max="2" width="17.625" style="0" customWidth="1"/>
    <col min="3" max="3" width="11.125" style="0" customWidth="1"/>
    <col min="4" max="4" width="11.00390625" style="0" customWidth="1"/>
    <col min="5" max="5" width="10.875" style="0" customWidth="1"/>
  </cols>
  <sheetData>
    <row r="1" ht="12.75">
      <c r="A1" s="3" t="s">
        <v>87</v>
      </c>
    </row>
    <row r="2" spans="1:4" ht="12.75">
      <c r="A2" s="3" t="s">
        <v>108</v>
      </c>
      <c r="D2" s="3" t="s">
        <v>88</v>
      </c>
    </row>
    <row r="3" spans="3:5" ht="12.75">
      <c r="C3" s="2" t="s">
        <v>5</v>
      </c>
      <c r="D3" s="2" t="s">
        <v>6</v>
      </c>
      <c r="E3" s="2" t="s">
        <v>13</v>
      </c>
    </row>
    <row r="4" spans="1:5" s="15" customFormat="1" ht="12.75">
      <c r="A4" s="13">
        <v>211</v>
      </c>
      <c r="B4" s="14" t="s">
        <v>2</v>
      </c>
      <c r="C4" s="13"/>
      <c r="D4" s="13"/>
      <c r="E4" s="16">
        <f>'штатн.расп.1'!G41</f>
        <v>1875202.96</v>
      </c>
    </row>
    <row r="5" spans="1:5" s="15" customFormat="1" ht="25.5">
      <c r="A5" s="13">
        <v>213</v>
      </c>
      <c r="B5" s="14" t="s">
        <v>3</v>
      </c>
      <c r="C5" s="13"/>
      <c r="D5" s="13"/>
      <c r="E5" s="16">
        <f>E4*26.2%</f>
        <v>491303.17552</v>
      </c>
    </row>
    <row r="6" spans="1:5" s="15" customFormat="1" ht="12.75">
      <c r="A6" s="17">
        <v>212</v>
      </c>
      <c r="B6" s="18"/>
      <c r="C6" s="13"/>
      <c r="D6" s="13"/>
      <c r="E6" s="16">
        <f>E7+E8+E9</f>
        <v>5000</v>
      </c>
    </row>
    <row r="7" spans="1:5" ht="16.5" customHeight="1">
      <c r="A7" s="5"/>
      <c r="B7" s="1" t="s">
        <v>4</v>
      </c>
      <c r="C7" s="2">
        <v>1</v>
      </c>
      <c r="D7" s="2">
        <v>5000</v>
      </c>
      <c r="E7" s="2">
        <f>D7*C7</f>
        <v>5000</v>
      </c>
    </row>
    <row r="8" spans="1:5" ht="12" customHeight="1">
      <c r="A8" s="5"/>
      <c r="B8" s="1" t="s">
        <v>7</v>
      </c>
      <c r="C8" s="2"/>
      <c r="D8" s="2">
        <v>180</v>
      </c>
      <c r="E8" s="2">
        <f>D8*C8</f>
        <v>0</v>
      </c>
    </row>
    <row r="9" spans="1:5" ht="5.25" customHeight="1" hidden="1">
      <c r="A9" s="5"/>
      <c r="B9" s="1" t="s">
        <v>8</v>
      </c>
      <c r="C9" s="4"/>
      <c r="E9" s="2">
        <f>E11+E12+E13</f>
        <v>0</v>
      </c>
    </row>
    <row r="10" spans="1:5" ht="12.75" hidden="1">
      <c r="A10" s="5"/>
      <c r="B10" s="1" t="s">
        <v>9</v>
      </c>
      <c r="C10" s="2"/>
      <c r="D10" s="2"/>
      <c r="E10" s="2"/>
    </row>
    <row r="11" spans="1:5" ht="12.75" hidden="1">
      <c r="A11" s="5"/>
      <c r="B11" s="1" t="s">
        <v>10</v>
      </c>
      <c r="C11" s="2"/>
      <c r="D11" s="2"/>
      <c r="E11" s="2">
        <f>D11*C11</f>
        <v>0</v>
      </c>
    </row>
    <row r="12" spans="1:5" ht="12.75" hidden="1">
      <c r="A12" s="5"/>
      <c r="B12" s="1" t="s">
        <v>11</v>
      </c>
      <c r="C12" s="2"/>
      <c r="D12" s="2"/>
      <c r="E12" s="2">
        <f aca="true" t="shared" si="0" ref="E12:E54">D12*C12</f>
        <v>0</v>
      </c>
    </row>
    <row r="13" spans="1:5" ht="12.75" hidden="1">
      <c r="A13" s="6"/>
      <c r="B13" s="1" t="s">
        <v>12</v>
      </c>
      <c r="C13" s="2"/>
      <c r="D13" s="2"/>
      <c r="E13" s="2">
        <f t="shared" si="0"/>
        <v>0</v>
      </c>
    </row>
    <row r="14" spans="1:5" s="15" customFormat="1" ht="12.75">
      <c r="A14" s="19">
        <v>221</v>
      </c>
      <c r="B14" s="18"/>
      <c r="E14" s="19">
        <f>E15+E16+E17</f>
        <v>10000</v>
      </c>
    </row>
    <row r="15" spans="1:5" ht="12.75">
      <c r="A15" s="5"/>
      <c r="B15" s="7" t="s">
        <v>14</v>
      </c>
      <c r="C15" s="2">
        <v>12</v>
      </c>
      <c r="D15" s="2">
        <v>330</v>
      </c>
      <c r="E15" s="2">
        <f t="shared" si="0"/>
        <v>3960</v>
      </c>
    </row>
    <row r="16" spans="1:5" ht="12.75">
      <c r="A16" s="5"/>
      <c r="B16" s="7" t="s">
        <v>30</v>
      </c>
      <c r="C16" s="2">
        <v>1208</v>
      </c>
      <c r="D16" s="2">
        <v>5</v>
      </c>
      <c r="E16" s="2">
        <f t="shared" si="0"/>
        <v>6040</v>
      </c>
    </row>
    <row r="17" spans="1:5" ht="12.75">
      <c r="A17" s="6"/>
      <c r="B17" s="7" t="s">
        <v>15</v>
      </c>
      <c r="C17" s="2"/>
      <c r="D17" s="2"/>
      <c r="E17" s="2">
        <f t="shared" si="0"/>
        <v>0</v>
      </c>
    </row>
    <row r="18" spans="1:5" s="15" customFormat="1" ht="12.75">
      <c r="A18" s="19">
        <v>222</v>
      </c>
      <c r="B18" s="18"/>
      <c r="E18" s="13">
        <f>E19+E20</f>
        <v>33000</v>
      </c>
    </row>
    <row r="19" spans="1:5" ht="12.75">
      <c r="A19" s="5"/>
      <c r="B19" s="1" t="s">
        <v>16</v>
      </c>
      <c r="C19" s="2">
        <v>3</v>
      </c>
      <c r="D19" s="2">
        <v>7000</v>
      </c>
      <c r="E19" s="2">
        <f t="shared" si="0"/>
        <v>21000</v>
      </c>
    </row>
    <row r="20" spans="1:5" ht="12.75">
      <c r="A20" s="6"/>
      <c r="B20" s="1" t="s">
        <v>17</v>
      </c>
      <c r="C20" s="2">
        <v>120</v>
      </c>
      <c r="D20" s="2">
        <v>100</v>
      </c>
      <c r="E20" s="2">
        <f t="shared" si="0"/>
        <v>12000</v>
      </c>
    </row>
    <row r="21" spans="1:5" s="15" customFormat="1" ht="12.75">
      <c r="A21" s="19">
        <v>223</v>
      </c>
      <c r="B21" s="18"/>
      <c r="E21" s="16">
        <f>E22+E23+E24</f>
        <v>23781.772800000002</v>
      </c>
    </row>
    <row r="22" spans="1:5" ht="12.75">
      <c r="A22" s="5"/>
      <c r="B22" s="1" t="s">
        <v>18</v>
      </c>
      <c r="C22" s="2">
        <v>43.68</v>
      </c>
      <c r="D22" s="2">
        <v>513.96</v>
      </c>
      <c r="E22" s="37">
        <f t="shared" si="0"/>
        <v>22449.772800000002</v>
      </c>
    </row>
    <row r="23" spans="1:5" ht="12.75">
      <c r="A23" s="5"/>
      <c r="B23" s="1" t="s">
        <v>19</v>
      </c>
      <c r="C23" s="2">
        <v>3600</v>
      </c>
      <c r="D23" s="2">
        <v>0.37</v>
      </c>
      <c r="E23" s="2">
        <f t="shared" si="0"/>
        <v>1332</v>
      </c>
    </row>
    <row r="24" spans="1:5" ht="12.75">
      <c r="A24" s="6"/>
      <c r="B24" s="8" t="s">
        <v>20</v>
      </c>
      <c r="C24" s="2"/>
      <c r="D24" s="2"/>
      <c r="E24" s="2">
        <f t="shared" si="0"/>
        <v>0</v>
      </c>
    </row>
    <row r="25" spans="1:5" s="15" customFormat="1" ht="12.75">
      <c r="A25" s="19">
        <v>225</v>
      </c>
      <c r="E25" s="19">
        <f>E26+E27</f>
        <v>40000</v>
      </c>
    </row>
    <row r="26" spans="1:5" ht="12.75">
      <c r="A26" s="5"/>
      <c r="B26" s="9" t="s">
        <v>21</v>
      </c>
      <c r="C26" s="2"/>
      <c r="D26" s="2"/>
      <c r="E26" s="2">
        <f t="shared" si="0"/>
        <v>0</v>
      </c>
    </row>
    <row r="27" spans="1:5" ht="12.75">
      <c r="A27" s="6"/>
      <c r="B27" s="9" t="s">
        <v>22</v>
      </c>
      <c r="C27" s="2">
        <v>1</v>
      </c>
      <c r="D27" s="2">
        <v>40000</v>
      </c>
      <c r="E27" s="2">
        <f t="shared" si="0"/>
        <v>40000</v>
      </c>
    </row>
    <row r="28" spans="1:5" s="15" customFormat="1" ht="12.75">
      <c r="A28" s="19">
        <v>226</v>
      </c>
      <c r="E28" s="19">
        <f>SUM(E29:E32)</f>
        <v>232000</v>
      </c>
    </row>
    <row r="29" spans="1:5" ht="12.75">
      <c r="A29" s="5"/>
      <c r="B29" s="8" t="s">
        <v>23</v>
      </c>
      <c r="C29" s="2">
        <v>1</v>
      </c>
      <c r="D29" s="2">
        <v>10000</v>
      </c>
      <c r="E29" s="2">
        <f t="shared" si="0"/>
        <v>10000</v>
      </c>
    </row>
    <row r="30" spans="1:5" ht="12.75">
      <c r="A30" s="5"/>
      <c r="B30" s="8" t="s">
        <v>34</v>
      </c>
      <c r="C30" s="2">
        <v>15</v>
      </c>
      <c r="D30" s="2">
        <v>1000</v>
      </c>
      <c r="E30" s="2">
        <f t="shared" si="0"/>
        <v>15000</v>
      </c>
    </row>
    <row r="31" spans="1:5" ht="16.5" customHeight="1">
      <c r="A31" s="5"/>
      <c r="B31" s="8" t="s">
        <v>24</v>
      </c>
      <c r="C31" s="2">
        <v>1</v>
      </c>
      <c r="D31" s="2">
        <v>25000</v>
      </c>
      <c r="E31" s="2">
        <f t="shared" si="0"/>
        <v>25000</v>
      </c>
    </row>
    <row r="32" spans="1:5" ht="12.75">
      <c r="A32" s="6"/>
      <c r="B32" s="8" t="s">
        <v>113</v>
      </c>
      <c r="C32" s="2">
        <v>1</v>
      </c>
      <c r="D32" s="2">
        <v>182000</v>
      </c>
      <c r="E32" s="2">
        <f t="shared" si="0"/>
        <v>182000</v>
      </c>
    </row>
    <row r="33" spans="1:5" ht="12.75">
      <c r="A33" s="17">
        <v>290</v>
      </c>
      <c r="B33" s="8"/>
      <c r="C33" s="2"/>
      <c r="D33" s="2"/>
      <c r="E33" s="13">
        <f>E34+E35</f>
        <v>50000</v>
      </c>
    </row>
    <row r="34" spans="1:5" ht="13.5" customHeight="1">
      <c r="A34" s="5"/>
      <c r="B34" s="8" t="s">
        <v>112</v>
      </c>
      <c r="C34" s="2">
        <v>1</v>
      </c>
      <c r="D34" s="2">
        <v>20000</v>
      </c>
      <c r="E34" s="2">
        <f t="shared" si="0"/>
        <v>20000</v>
      </c>
    </row>
    <row r="35" spans="1:5" ht="12.75">
      <c r="A35" s="5"/>
      <c r="B35" s="8" t="s">
        <v>26</v>
      </c>
      <c r="C35" s="2">
        <v>1</v>
      </c>
      <c r="D35" s="2">
        <v>30000</v>
      </c>
      <c r="E35" s="2">
        <f t="shared" si="0"/>
        <v>30000</v>
      </c>
    </row>
    <row r="36" spans="1:5" s="15" customFormat="1" ht="12.75">
      <c r="A36" s="19">
        <v>310</v>
      </c>
      <c r="B36" s="13"/>
      <c r="C36" s="13"/>
      <c r="D36" s="13"/>
      <c r="E36" s="13">
        <f>SUM(E37:E46)</f>
        <v>608000</v>
      </c>
    </row>
    <row r="37" spans="1:5" ht="12.75">
      <c r="A37" s="5"/>
      <c r="B37" s="9" t="s">
        <v>109</v>
      </c>
      <c r="C37" s="2">
        <v>3</v>
      </c>
      <c r="D37" s="2">
        <v>30000</v>
      </c>
      <c r="E37" s="2">
        <f t="shared" si="0"/>
        <v>90000</v>
      </c>
    </row>
    <row r="38" spans="1:5" ht="12.75">
      <c r="A38" s="5"/>
      <c r="B38" s="9" t="s">
        <v>110</v>
      </c>
      <c r="C38" s="2">
        <v>3</v>
      </c>
      <c r="D38" s="2">
        <v>12000</v>
      </c>
      <c r="E38" s="2">
        <f t="shared" si="0"/>
        <v>36000</v>
      </c>
    </row>
    <row r="39" spans="1:5" ht="12.75">
      <c r="A39" s="5"/>
      <c r="B39" s="9" t="s">
        <v>111</v>
      </c>
      <c r="C39" s="2">
        <v>1</v>
      </c>
      <c r="D39" s="2">
        <v>20000</v>
      </c>
      <c r="E39" s="2">
        <f t="shared" si="0"/>
        <v>20000</v>
      </c>
    </row>
    <row r="40" spans="1:5" ht="12.75">
      <c r="A40" s="5"/>
      <c r="B40" s="9" t="s">
        <v>115</v>
      </c>
      <c r="C40" s="2">
        <v>1</v>
      </c>
      <c r="D40" s="2">
        <v>16000</v>
      </c>
      <c r="E40" s="2">
        <f t="shared" si="0"/>
        <v>16000</v>
      </c>
    </row>
    <row r="41" spans="1:5" ht="12.75">
      <c r="A41" s="5"/>
      <c r="B41" s="9" t="s">
        <v>31</v>
      </c>
      <c r="C41" s="2">
        <v>25</v>
      </c>
      <c r="D41" s="2">
        <v>600</v>
      </c>
      <c r="E41" s="2">
        <f t="shared" si="0"/>
        <v>15000</v>
      </c>
    </row>
    <row r="42" spans="1:5" ht="12.75">
      <c r="A42" s="5"/>
      <c r="B42" s="9" t="s">
        <v>97</v>
      </c>
      <c r="C42" s="2">
        <v>1</v>
      </c>
      <c r="D42" s="2">
        <v>7000</v>
      </c>
      <c r="E42" s="2">
        <f t="shared" si="0"/>
        <v>7000</v>
      </c>
    </row>
    <row r="43" spans="1:5" ht="12.75">
      <c r="A43" s="5"/>
      <c r="B43" s="9" t="s">
        <v>89</v>
      </c>
      <c r="C43" s="2">
        <v>3</v>
      </c>
      <c r="D43" s="2">
        <v>2000</v>
      </c>
      <c r="E43" s="2">
        <f t="shared" si="0"/>
        <v>6000</v>
      </c>
    </row>
    <row r="44" spans="1:5" ht="12.75">
      <c r="A44" s="5"/>
      <c r="B44" s="10" t="s">
        <v>90</v>
      </c>
      <c r="C44" s="2">
        <v>1</v>
      </c>
      <c r="D44" s="2">
        <v>10000</v>
      </c>
      <c r="E44" s="2">
        <f t="shared" si="0"/>
        <v>10000</v>
      </c>
    </row>
    <row r="45" spans="1:5" ht="12.75">
      <c r="A45" s="5"/>
      <c r="B45" s="10" t="s">
        <v>91</v>
      </c>
      <c r="C45" s="2">
        <v>2</v>
      </c>
      <c r="D45" s="2">
        <v>4000</v>
      </c>
      <c r="E45" s="2">
        <f t="shared" si="0"/>
        <v>8000</v>
      </c>
    </row>
    <row r="46" spans="1:5" ht="12.75">
      <c r="A46" s="6"/>
      <c r="B46" s="10" t="s">
        <v>114</v>
      </c>
      <c r="C46" s="2">
        <v>1</v>
      </c>
      <c r="D46" s="2">
        <v>400000</v>
      </c>
      <c r="E46" s="2">
        <f t="shared" si="0"/>
        <v>400000</v>
      </c>
    </row>
    <row r="47" spans="1:5" s="15" customFormat="1" ht="12.75">
      <c r="A47" s="19">
        <v>340</v>
      </c>
      <c r="D47" s="20"/>
      <c r="E47" s="21">
        <f>SUM(E48:E54)</f>
        <v>60800</v>
      </c>
    </row>
    <row r="48" spans="1:5" ht="25.5">
      <c r="A48" s="5"/>
      <c r="B48" s="7" t="s">
        <v>25</v>
      </c>
      <c r="C48" s="2"/>
      <c r="D48" s="2"/>
      <c r="E48" s="2">
        <f t="shared" si="0"/>
        <v>0</v>
      </c>
    </row>
    <row r="49" spans="1:5" ht="12.75">
      <c r="A49" s="5"/>
      <c r="B49" s="7" t="s">
        <v>27</v>
      </c>
      <c r="C49" s="2">
        <v>25</v>
      </c>
      <c r="D49" s="2">
        <v>150</v>
      </c>
      <c r="E49" s="2">
        <f t="shared" si="0"/>
        <v>3750</v>
      </c>
    </row>
    <row r="50" spans="1:5" ht="12.75">
      <c r="A50" s="5"/>
      <c r="B50" s="7" t="s">
        <v>28</v>
      </c>
      <c r="C50" s="2">
        <v>12</v>
      </c>
      <c r="D50" s="2">
        <v>20</v>
      </c>
      <c r="E50" s="2">
        <f t="shared" si="0"/>
        <v>240</v>
      </c>
    </row>
    <row r="51" spans="1:5" ht="12.75">
      <c r="A51" s="5"/>
      <c r="B51" s="7" t="s">
        <v>29</v>
      </c>
      <c r="C51" s="2">
        <v>1</v>
      </c>
      <c r="D51" s="2">
        <v>6300</v>
      </c>
      <c r="E51" s="2">
        <f t="shared" si="0"/>
        <v>6300</v>
      </c>
    </row>
    <row r="52" spans="1:5" ht="12.75">
      <c r="A52" s="5"/>
      <c r="B52" s="7" t="s">
        <v>32</v>
      </c>
      <c r="C52" s="2">
        <v>1</v>
      </c>
      <c r="D52" s="2">
        <v>20000</v>
      </c>
      <c r="E52" s="2">
        <f t="shared" si="0"/>
        <v>20000</v>
      </c>
    </row>
    <row r="53" spans="1:5" ht="12.75">
      <c r="A53" s="5"/>
      <c r="B53" s="7" t="s">
        <v>33</v>
      </c>
      <c r="C53" s="2"/>
      <c r="D53" s="2"/>
      <c r="E53" s="2">
        <f t="shared" si="0"/>
        <v>0</v>
      </c>
    </row>
    <row r="54" spans="1:5" ht="12.75">
      <c r="A54" s="6"/>
      <c r="B54" s="7" t="s">
        <v>26</v>
      </c>
      <c r="C54" s="2">
        <v>1</v>
      </c>
      <c r="D54" s="2">
        <v>30510</v>
      </c>
      <c r="E54" s="2">
        <f t="shared" si="0"/>
        <v>30510</v>
      </c>
    </row>
    <row r="56" spans="1:5" s="3" customFormat="1" ht="12.75">
      <c r="A56" s="11" t="s">
        <v>1</v>
      </c>
      <c r="B56" s="11"/>
      <c r="C56" s="11"/>
      <c r="D56" s="11"/>
      <c r="E56" s="12">
        <f>E47+E36+E28+E25+E21+E18+E14+E6+E5+E4+E33</f>
        <v>3429087.90832</v>
      </c>
    </row>
    <row r="58" spans="1:4" ht="12.75">
      <c r="A58" t="s">
        <v>104</v>
      </c>
      <c r="D58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D4">
      <selection activeCell="A4" sqref="A4"/>
    </sheetView>
  </sheetViews>
  <sheetFormatPr defaultColWidth="9.00390625" defaultRowHeight="12.75"/>
  <cols>
    <col min="1" max="1" width="6.125" style="22" customWidth="1"/>
    <col min="2" max="2" width="21.00390625" style="22" customWidth="1"/>
    <col min="3" max="3" width="15.375" style="22" customWidth="1"/>
    <col min="4" max="4" width="9.125" style="22" customWidth="1"/>
    <col min="5" max="5" width="9.25390625" style="22" customWidth="1"/>
    <col min="6" max="6" width="8.625" style="22" customWidth="1"/>
    <col min="7" max="7" width="8.00390625" style="22" customWidth="1"/>
    <col min="8" max="8" width="5.375" style="22" customWidth="1"/>
    <col min="9" max="9" width="8.125" style="22" customWidth="1"/>
    <col min="10" max="10" width="7.75390625" style="22" customWidth="1"/>
    <col min="11" max="11" width="9.75390625" style="22" customWidth="1"/>
    <col min="12" max="12" width="14.75390625" style="22" customWidth="1"/>
    <col min="13" max="14" width="12.125" style="22" customWidth="1"/>
    <col min="15" max="15" width="11.625" style="22" customWidth="1"/>
    <col min="16" max="16" width="12.25390625" style="22" customWidth="1"/>
    <col min="17" max="17" width="12.375" style="22" customWidth="1"/>
  </cols>
  <sheetData>
    <row r="1" ht="12.75">
      <c r="A1" s="22" t="s">
        <v>101</v>
      </c>
    </row>
    <row r="2" spans="1:5" ht="15.75">
      <c r="A2" s="22" t="s">
        <v>102</v>
      </c>
      <c r="E2" s="23"/>
    </row>
    <row r="3" spans="1:5" ht="15.75">
      <c r="A3" s="22" t="s">
        <v>126</v>
      </c>
      <c r="E3" s="23"/>
    </row>
    <row r="4" spans="2:12" ht="19.5">
      <c r="B4" s="24" t="s">
        <v>35</v>
      </c>
      <c r="E4" s="25" t="s">
        <v>106</v>
      </c>
      <c r="F4" s="25"/>
      <c r="G4" s="24"/>
      <c r="H4" s="26"/>
      <c r="I4" s="24" t="s">
        <v>107</v>
      </c>
      <c r="L4" s="24"/>
    </row>
    <row r="6" spans="1:17" ht="51">
      <c r="A6" s="27" t="s">
        <v>36</v>
      </c>
      <c r="B6" s="27" t="s">
        <v>37</v>
      </c>
      <c r="C6" s="27" t="s">
        <v>38</v>
      </c>
      <c r="D6" s="123" t="s">
        <v>39</v>
      </c>
      <c r="E6" s="27" t="s">
        <v>40</v>
      </c>
      <c r="F6" s="125" t="s">
        <v>41</v>
      </c>
      <c r="G6" s="126"/>
      <c r="H6" s="125" t="s">
        <v>42</v>
      </c>
      <c r="I6" s="126"/>
      <c r="J6" s="125" t="s">
        <v>43</v>
      </c>
      <c r="K6" s="126"/>
      <c r="L6" s="123" t="s">
        <v>44</v>
      </c>
      <c r="M6" s="27" t="s">
        <v>45</v>
      </c>
      <c r="N6" s="27" t="s">
        <v>46</v>
      </c>
      <c r="O6" s="27" t="s">
        <v>47</v>
      </c>
      <c r="P6" s="123" t="s">
        <v>48</v>
      </c>
      <c r="Q6" s="27" t="s">
        <v>49</v>
      </c>
    </row>
    <row r="7" spans="1:17" ht="12.75">
      <c r="A7" s="28"/>
      <c r="B7" s="28"/>
      <c r="C7" s="28"/>
      <c r="D7" s="124"/>
      <c r="E7" s="28"/>
      <c r="F7" s="29" t="s">
        <v>50</v>
      </c>
      <c r="G7" s="29" t="s">
        <v>51</v>
      </c>
      <c r="H7" s="29" t="s">
        <v>50</v>
      </c>
      <c r="I7" s="29" t="s">
        <v>51</v>
      </c>
      <c r="J7" s="29" t="s">
        <v>50</v>
      </c>
      <c r="K7" s="29" t="s">
        <v>51</v>
      </c>
      <c r="L7" s="124"/>
      <c r="M7" s="28"/>
      <c r="N7" s="28"/>
      <c r="O7" s="28"/>
      <c r="P7" s="127"/>
      <c r="Q7" s="28"/>
    </row>
    <row r="8" spans="1:17" ht="12.75">
      <c r="A8" s="30">
        <v>1</v>
      </c>
      <c r="B8" s="30" t="s">
        <v>52</v>
      </c>
      <c r="C8" s="30" t="s">
        <v>105</v>
      </c>
      <c r="D8" s="30">
        <v>1</v>
      </c>
      <c r="E8" s="30">
        <v>2121</v>
      </c>
      <c r="F8" s="30">
        <v>20</v>
      </c>
      <c r="G8" s="30">
        <f>ROUND(F8*E8/100,2)</f>
        <v>424.2</v>
      </c>
      <c r="H8" s="30">
        <v>60</v>
      </c>
      <c r="I8" s="30">
        <f>ROUND(E8*H8/100,2)</f>
        <v>1272.6</v>
      </c>
      <c r="J8" s="30">
        <v>10</v>
      </c>
      <c r="K8" s="30">
        <f>ROUND(E8*J8/100,2)</f>
        <v>212.1</v>
      </c>
      <c r="L8" s="30">
        <f>ROUND((E8+G8+I8+K8)/12,2)</f>
        <v>335.83</v>
      </c>
      <c r="M8" s="30">
        <f>E8+G8+I8+K8+L8</f>
        <v>4365.73</v>
      </c>
      <c r="N8" s="30">
        <f>M8*2</f>
        <v>8731.46</v>
      </c>
      <c r="O8" s="30">
        <f>ROUND(M8/3,2)</f>
        <v>1455.24</v>
      </c>
      <c r="P8" s="30">
        <f>ROUND((M8+N8+O8)*1.2,2)</f>
        <v>17462.92</v>
      </c>
      <c r="Q8" s="30">
        <f>M8+N8+O8+P8</f>
        <v>32015.35</v>
      </c>
    </row>
    <row r="10" spans="2:6" ht="12.75">
      <c r="B10" s="22" t="s">
        <v>53</v>
      </c>
      <c r="F10" s="22">
        <f>Q8*12</f>
        <v>384184.19999999995</v>
      </c>
    </row>
    <row r="12" ht="12.75">
      <c r="B12" s="34" t="s">
        <v>69</v>
      </c>
    </row>
    <row r="13" spans="1:17" ht="25.5">
      <c r="A13" s="27" t="s">
        <v>36</v>
      </c>
      <c r="B13" s="27" t="s">
        <v>37</v>
      </c>
      <c r="C13" s="27" t="s">
        <v>38</v>
      </c>
      <c r="D13" s="123" t="s">
        <v>39</v>
      </c>
      <c r="E13" s="27" t="s">
        <v>40</v>
      </c>
      <c r="F13" s="125" t="s">
        <v>54</v>
      </c>
      <c r="G13" s="126"/>
      <c r="H13" s="125" t="s">
        <v>41</v>
      </c>
      <c r="I13" s="126"/>
      <c r="J13" s="125" t="s">
        <v>42</v>
      </c>
      <c r="K13" s="126"/>
      <c r="L13" s="123" t="s">
        <v>46</v>
      </c>
      <c r="M13" s="123" t="s">
        <v>55</v>
      </c>
      <c r="N13" s="123" t="s">
        <v>56</v>
      </c>
      <c r="O13" s="123" t="s">
        <v>57</v>
      </c>
      <c r="P13"/>
      <c r="Q13"/>
    </row>
    <row r="14" spans="1:17" ht="12.75">
      <c r="A14" s="28"/>
      <c r="B14" s="28"/>
      <c r="C14" s="28"/>
      <c r="D14" s="124"/>
      <c r="E14" s="28"/>
      <c r="F14" s="29" t="s">
        <v>58</v>
      </c>
      <c r="G14" s="29" t="s">
        <v>51</v>
      </c>
      <c r="H14" s="29" t="s">
        <v>50</v>
      </c>
      <c r="I14" s="29" t="s">
        <v>51</v>
      </c>
      <c r="J14" s="29" t="s">
        <v>50</v>
      </c>
      <c r="K14" s="29" t="s">
        <v>51</v>
      </c>
      <c r="L14" s="124"/>
      <c r="M14" s="124"/>
      <c r="N14" s="124"/>
      <c r="O14" s="124"/>
      <c r="P14"/>
      <c r="Q14"/>
    </row>
    <row r="15" spans="1:15" ht="38.25">
      <c r="A15" s="31">
        <v>1</v>
      </c>
      <c r="B15" s="32" t="s">
        <v>92</v>
      </c>
      <c r="C15" s="31"/>
      <c r="D15" s="31">
        <v>1</v>
      </c>
      <c r="E15" s="31">
        <v>1600</v>
      </c>
      <c r="F15" s="31"/>
      <c r="G15" s="31">
        <f aca="true" t="shared" si="0" ref="G15:G20">ROUND(E15*F15/100,2)</f>
        <v>0</v>
      </c>
      <c r="H15" s="31">
        <v>0</v>
      </c>
      <c r="I15" s="31">
        <f aca="true" t="shared" si="1" ref="I15:I20">ROUND(E15*H15/100,2)</f>
        <v>0</v>
      </c>
      <c r="J15" s="31">
        <v>60</v>
      </c>
      <c r="K15" s="31">
        <f aca="true" t="shared" si="2" ref="K15:K20">ROUND(E15*J15/100,2)</f>
        <v>960</v>
      </c>
      <c r="L15" s="31">
        <f aca="true" t="shared" si="3" ref="L15:L20">E15*3</f>
        <v>4800</v>
      </c>
      <c r="M15" s="31">
        <f aca="true" t="shared" si="4" ref="M15:M20">ROUND((E15+G15+I15+K15+L15)*0.7,2)</f>
        <v>5152</v>
      </c>
      <c r="N15" s="31">
        <f aca="true" t="shared" si="5" ref="N15:N20">ROUND((E15+G15+I15+K15+L15)*0.5,2)</f>
        <v>3680</v>
      </c>
      <c r="O15" s="31">
        <f aca="true" t="shared" si="6" ref="O15:O20">E15+G15+I15+K15+L15+M15+N15</f>
        <v>16192</v>
      </c>
    </row>
    <row r="16" spans="1:15" ht="12.75">
      <c r="A16" s="31">
        <v>2</v>
      </c>
      <c r="B16" s="32" t="s">
        <v>116</v>
      </c>
      <c r="C16" s="31"/>
      <c r="D16" s="31">
        <v>1</v>
      </c>
      <c r="E16" s="31">
        <v>1399</v>
      </c>
      <c r="F16" s="31"/>
      <c r="G16" s="31">
        <f t="shared" si="0"/>
        <v>0</v>
      </c>
      <c r="H16" s="31"/>
      <c r="I16" s="31">
        <f t="shared" si="1"/>
        <v>0</v>
      </c>
      <c r="J16" s="31">
        <v>60</v>
      </c>
      <c r="K16" s="31">
        <f t="shared" si="2"/>
        <v>839.4</v>
      </c>
      <c r="L16" s="31">
        <f t="shared" si="3"/>
        <v>4197</v>
      </c>
      <c r="M16" s="31">
        <f t="shared" si="4"/>
        <v>4504.78</v>
      </c>
      <c r="N16" s="31">
        <f t="shared" si="5"/>
        <v>3217.7</v>
      </c>
      <c r="O16" s="31">
        <f t="shared" si="6"/>
        <v>14157.880000000001</v>
      </c>
    </row>
    <row r="17" spans="1:15" ht="12.75">
      <c r="A17" s="31">
        <v>3</v>
      </c>
      <c r="B17" s="22" t="s">
        <v>117</v>
      </c>
      <c r="C17" s="31"/>
      <c r="D17" s="31">
        <v>2</v>
      </c>
      <c r="E17" s="31">
        <v>1980</v>
      </c>
      <c r="F17" s="31"/>
      <c r="G17" s="31">
        <f t="shared" si="0"/>
        <v>0</v>
      </c>
      <c r="H17" s="31"/>
      <c r="I17" s="31">
        <f t="shared" si="1"/>
        <v>0</v>
      </c>
      <c r="J17" s="31">
        <v>30</v>
      </c>
      <c r="K17" s="31">
        <f t="shared" si="2"/>
        <v>594</v>
      </c>
      <c r="L17" s="31">
        <f t="shared" si="3"/>
        <v>5940</v>
      </c>
      <c r="M17" s="31">
        <f t="shared" si="4"/>
        <v>5959.8</v>
      </c>
      <c r="N17" s="31">
        <f t="shared" si="5"/>
        <v>4257</v>
      </c>
      <c r="O17" s="31">
        <f t="shared" si="6"/>
        <v>18730.8</v>
      </c>
    </row>
    <row r="18" spans="1:15" ht="12.75">
      <c r="A18" s="31">
        <v>4</v>
      </c>
      <c r="B18" s="31" t="s">
        <v>117</v>
      </c>
      <c r="C18" s="31"/>
      <c r="D18" s="31">
        <v>2</v>
      </c>
      <c r="E18" s="31">
        <v>1980</v>
      </c>
      <c r="F18" s="31"/>
      <c r="G18" s="31">
        <f t="shared" si="0"/>
        <v>0</v>
      </c>
      <c r="H18" s="31"/>
      <c r="I18" s="31">
        <f t="shared" si="1"/>
        <v>0</v>
      </c>
      <c r="J18" s="31">
        <v>30</v>
      </c>
      <c r="K18" s="31">
        <f t="shared" si="2"/>
        <v>594</v>
      </c>
      <c r="L18" s="31">
        <f t="shared" si="3"/>
        <v>5940</v>
      </c>
      <c r="M18" s="31">
        <f t="shared" si="4"/>
        <v>5959.8</v>
      </c>
      <c r="N18" s="31">
        <f t="shared" si="5"/>
        <v>4257</v>
      </c>
      <c r="O18" s="31">
        <f t="shared" si="6"/>
        <v>18730.8</v>
      </c>
    </row>
    <row r="19" spans="1:15" ht="12.75">
      <c r="A19" s="31">
        <v>5</v>
      </c>
      <c r="B19" s="32" t="s">
        <v>118</v>
      </c>
      <c r="C19" s="31"/>
      <c r="D19" s="31">
        <v>2</v>
      </c>
      <c r="E19" s="31">
        <v>1500</v>
      </c>
      <c r="F19" s="31"/>
      <c r="G19" s="31">
        <f t="shared" si="0"/>
        <v>0</v>
      </c>
      <c r="H19" s="31"/>
      <c r="I19" s="31">
        <f t="shared" si="1"/>
        <v>0</v>
      </c>
      <c r="J19" s="31">
        <v>30</v>
      </c>
      <c r="K19" s="31">
        <f t="shared" si="2"/>
        <v>450</v>
      </c>
      <c r="L19" s="31">
        <f t="shared" si="3"/>
        <v>4500</v>
      </c>
      <c r="M19" s="31">
        <f t="shared" si="4"/>
        <v>4515</v>
      </c>
      <c r="N19" s="31">
        <f t="shared" si="5"/>
        <v>3225</v>
      </c>
      <c r="O19" s="31">
        <f t="shared" si="6"/>
        <v>14190</v>
      </c>
    </row>
    <row r="20" spans="1:15" ht="12.75">
      <c r="A20" s="31">
        <v>6</v>
      </c>
      <c r="B20" s="32" t="s">
        <v>119</v>
      </c>
      <c r="C20" s="31"/>
      <c r="D20" s="31">
        <v>2</v>
      </c>
      <c r="E20" s="31">
        <v>1200</v>
      </c>
      <c r="F20" s="31"/>
      <c r="G20" s="31">
        <f t="shared" si="0"/>
        <v>0</v>
      </c>
      <c r="H20" s="31"/>
      <c r="I20" s="31">
        <f t="shared" si="1"/>
        <v>0</v>
      </c>
      <c r="J20" s="31">
        <v>30</v>
      </c>
      <c r="K20" s="31">
        <f t="shared" si="2"/>
        <v>360</v>
      </c>
      <c r="L20" s="31">
        <f t="shared" si="3"/>
        <v>3600</v>
      </c>
      <c r="M20" s="31">
        <f t="shared" si="4"/>
        <v>3612</v>
      </c>
      <c r="N20" s="31">
        <f t="shared" si="5"/>
        <v>2580</v>
      </c>
      <c r="O20" s="31">
        <f t="shared" si="6"/>
        <v>11352</v>
      </c>
    </row>
    <row r="21" spans="1:15" ht="12.75">
      <c r="A21" s="31"/>
      <c r="B21" s="32" t="s">
        <v>0</v>
      </c>
      <c r="C21" s="31"/>
      <c r="D21" s="31">
        <f>SUM(D15:D20)</f>
        <v>10</v>
      </c>
      <c r="E21" s="31">
        <f>SUM(E15:E20)</f>
        <v>9659</v>
      </c>
      <c r="F21" s="31"/>
      <c r="G21" s="31">
        <f>SUM(G15:G20)</f>
        <v>0</v>
      </c>
      <c r="H21" s="31"/>
      <c r="I21" s="31"/>
      <c r="J21" s="31"/>
      <c r="K21" s="31">
        <f>SUM(K15:K20)</f>
        <v>3797.4</v>
      </c>
      <c r="L21" s="31">
        <f>SUM(L15:L20)</f>
        <v>28977</v>
      </c>
      <c r="M21" s="31">
        <f>SUM(M15:M20)</f>
        <v>29703.379999999997</v>
      </c>
      <c r="N21" s="31">
        <f>SUM(N15:N20)</f>
        <v>21216.7</v>
      </c>
      <c r="O21" s="31">
        <f>SUM(O15:O20)</f>
        <v>93353.48</v>
      </c>
    </row>
    <row r="23" spans="2:6" ht="12.75">
      <c r="B23" s="22" t="s">
        <v>59</v>
      </c>
      <c r="D23" s="22" t="s">
        <v>120</v>
      </c>
      <c r="F23" s="22">
        <f>ROUND((E21+G21)*2*2.2,2)</f>
        <v>42499.6</v>
      </c>
    </row>
    <row r="24" spans="2:6" ht="12.75">
      <c r="B24" s="22" t="s">
        <v>60</v>
      </c>
      <c r="D24" s="22" t="s">
        <v>121</v>
      </c>
      <c r="F24" s="22">
        <f>ROUND((E21+G21)*3*2.2,2)</f>
        <v>63749.4</v>
      </c>
    </row>
    <row r="25" spans="2:6" ht="12.75">
      <c r="B25" s="22" t="s">
        <v>53</v>
      </c>
      <c r="F25" s="22">
        <f>O21*12+F23+F24</f>
        <v>1226490.76</v>
      </c>
    </row>
    <row r="27" ht="12.75">
      <c r="B27" s="34" t="s">
        <v>71</v>
      </c>
    </row>
    <row r="28" spans="1:15" ht="25.5">
      <c r="A28" s="27" t="s">
        <v>36</v>
      </c>
      <c r="B28" s="27" t="s">
        <v>37</v>
      </c>
      <c r="C28" s="27" t="s">
        <v>38</v>
      </c>
      <c r="D28" s="123" t="s">
        <v>39</v>
      </c>
      <c r="E28" s="27" t="s">
        <v>40</v>
      </c>
      <c r="F28" s="125" t="s">
        <v>61</v>
      </c>
      <c r="G28" s="126"/>
      <c r="H28" s="125" t="s">
        <v>41</v>
      </c>
      <c r="I28" s="126"/>
      <c r="J28" s="125"/>
      <c r="K28" s="126"/>
      <c r="L28" s="123"/>
      <c r="M28" s="123" t="s">
        <v>55</v>
      </c>
      <c r="N28" s="123" t="s">
        <v>56</v>
      </c>
      <c r="O28" s="123" t="s">
        <v>57</v>
      </c>
    </row>
    <row r="29" spans="1:15" ht="12.75">
      <c r="A29" s="28"/>
      <c r="B29" s="28"/>
      <c r="C29" s="28"/>
      <c r="D29" s="128"/>
      <c r="E29" s="28"/>
      <c r="F29" s="29" t="s">
        <v>50</v>
      </c>
      <c r="G29" s="29" t="s">
        <v>51</v>
      </c>
      <c r="H29" s="29" t="s">
        <v>50</v>
      </c>
      <c r="I29" s="29" t="s">
        <v>51</v>
      </c>
      <c r="J29" s="29"/>
      <c r="K29" s="29"/>
      <c r="L29" s="128"/>
      <c r="M29" s="128"/>
      <c r="N29" s="128"/>
      <c r="O29" s="128"/>
    </row>
    <row r="30" spans="1:15" ht="12.75">
      <c r="A30" s="31">
        <v>1</v>
      </c>
      <c r="B30" s="32" t="s">
        <v>62</v>
      </c>
      <c r="C30" s="31"/>
      <c r="D30" s="31">
        <v>1</v>
      </c>
      <c r="E30" s="31">
        <v>800</v>
      </c>
      <c r="F30" s="31">
        <v>50</v>
      </c>
      <c r="G30" s="31">
        <f>ROUND(E30*F30/100,2)</f>
        <v>400</v>
      </c>
      <c r="H30" s="31"/>
      <c r="I30" s="31">
        <f>ROUND(E30*H30/100,2)</f>
        <v>0</v>
      </c>
      <c r="J30" s="31"/>
      <c r="K30" s="31">
        <f>ROUND(E30*J30/100,2)</f>
        <v>0</v>
      </c>
      <c r="L30" s="31"/>
      <c r="M30" s="31">
        <f>ROUND((E30+G30+I30+K30+L30)*0.7,2)</f>
        <v>840</v>
      </c>
      <c r="N30" s="31">
        <f>ROUND((E30+G30+I30)*0.5,2)</f>
        <v>600</v>
      </c>
      <c r="O30" s="31">
        <f>E30+G30+I30+K30+L30+M30+N30</f>
        <v>2640</v>
      </c>
    </row>
    <row r="31" spans="1:15" ht="12.75">
      <c r="A31" s="31">
        <v>3</v>
      </c>
      <c r="B31" s="32" t="s">
        <v>125</v>
      </c>
      <c r="C31" s="31"/>
      <c r="D31" s="31">
        <v>1</v>
      </c>
      <c r="E31" s="31">
        <v>1620</v>
      </c>
      <c r="F31" s="31">
        <v>80</v>
      </c>
      <c r="G31" s="31">
        <f>ROUND(E31*F31/100,2)</f>
        <v>1296</v>
      </c>
      <c r="H31" s="31"/>
      <c r="I31" s="31"/>
      <c r="J31" s="31"/>
      <c r="K31" s="31"/>
      <c r="L31" s="31"/>
      <c r="M31" s="31">
        <f>ROUND((E31+G31+I31+K31+L31)*0.7,2)</f>
        <v>2041.2</v>
      </c>
      <c r="N31" s="31">
        <f>ROUND((E31+G31+I31)*0.5,2)</f>
        <v>1458</v>
      </c>
      <c r="O31" s="31">
        <f>E31+G31+I31+K31+L31+M31+N31</f>
        <v>6415.2</v>
      </c>
    </row>
    <row r="32" spans="1:15" ht="12.75">
      <c r="A32" s="31">
        <v>4</v>
      </c>
      <c r="B32" s="32" t="s">
        <v>96</v>
      </c>
      <c r="C32" s="31"/>
      <c r="D32" s="31">
        <v>2</v>
      </c>
      <c r="E32" s="31">
        <v>1600</v>
      </c>
      <c r="F32" s="31">
        <v>60</v>
      </c>
      <c r="G32" s="31">
        <f>ROUND(E32*F32/100,2)</f>
        <v>960</v>
      </c>
      <c r="H32" s="31"/>
      <c r="I32" s="31"/>
      <c r="J32" s="31"/>
      <c r="K32" s="31"/>
      <c r="L32" s="31"/>
      <c r="M32" s="31">
        <f>ROUND((E32+G32+I32+K32+L32)*0.7,2)</f>
        <v>1792</v>
      </c>
      <c r="N32" s="31">
        <f>ROUND((E32+G32+I32)*0.5,2)</f>
        <v>1280</v>
      </c>
      <c r="O32" s="31">
        <f>E32+G32+I32+K32+L32+M32+N32</f>
        <v>5632</v>
      </c>
    </row>
    <row r="33" spans="1:15" ht="12.75">
      <c r="A33" s="31"/>
      <c r="B33" s="32" t="s">
        <v>0</v>
      </c>
      <c r="C33" s="31"/>
      <c r="D33" s="31">
        <f>SUM(D30:D32)</f>
        <v>4</v>
      </c>
      <c r="E33" s="31">
        <f>SUM(E30:E32)</f>
        <v>4020</v>
      </c>
      <c r="F33" s="31"/>
      <c r="G33" s="31">
        <f aca="true" t="shared" si="7" ref="G33:O33">SUM(G30:G32)</f>
        <v>2656</v>
      </c>
      <c r="H33" s="31">
        <f t="shared" si="7"/>
        <v>0</v>
      </c>
      <c r="I33" s="31">
        <f t="shared" si="7"/>
        <v>0</v>
      </c>
      <c r="J33" s="31">
        <f t="shared" si="7"/>
        <v>0</v>
      </c>
      <c r="K33" s="31">
        <f t="shared" si="7"/>
        <v>0</v>
      </c>
      <c r="L33" s="31">
        <f t="shared" si="7"/>
        <v>0</v>
      </c>
      <c r="M33" s="31">
        <f t="shared" si="7"/>
        <v>4673.2</v>
      </c>
      <c r="N33" s="31">
        <f t="shared" si="7"/>
        <v>3338</v>
      </c>
      <c r="O33" s="31">
        <f t="shared" si="7"/>
        <v>14687.2</v>
      </c>
    </row>
    <row r="34" spans="13:15" ht="12.75">
      <c r="M34" s="22" t="s">
        <v>63</v>
      </c>
      <c r="O34" s="33">
        <f>O33*0.375</f>
        <v>5507.700000000001</v>
      </c>
    </row>
    <row r="35" spans="2:7" ht="12.75">
      <c r="B35" s="22" t="s">
        <v>64</v>
      </c>
      <c r="D35" s="22" t="s">
        <v>123</v>
      </c>
      <c r="G35" s="22">
        <f>E33*3*2.2</f>
        <v>26532.000000000004</v>
      </c>
    </row>
    <row r="36" spans="2:7" ht="12.75">
      <c r="B36" s="22" t="s">
        <v>65</v>
      </c>
      <c r="D36" s="22" t="s">
        <v>122</v>
      </c>
      <c r="G36" s="22">
        <f>E33*2*2.2</f>
        <v>17688</v>
      </c>
    </row>
    <row r="37" spans="2:7" ht="12.75">
      <c r="B37" s="22" t="s">
        <v>66</v>
      </c>
      <c r="D37" s="22" t="s">
        <v>124</v>
      </c>
      <c r="G37" s="22">
        <f>O34*8</f>
        <v>44061.600000000006</v>
      </c>
    </row>
    <row r="38" spans="2:7" ht="12.75">
      <c r="B38" s="22" t="s">
        <v>67</v>
      </c>
      <c r="G38" s="22">
        <f>O33*12+G35+G36+G37</f>
        <v>264528</v>
      </c>
    </row>
    <row r="41" spans="2:7" ht="13.5">
      <c r="B41" s="22" t="s">
        <v>68</v>
      </c>
      <c r="D41" s="26"/>
      <c r="G41" s="22">
        <f>F10+F25+G38</f>
        <v>1875202.96</v>
      </c>
    </row>
  </sheetData>
  <sheetProtection/>
  <mergeCells count="22">
    <mergeCell ref="N13:N14"/>
    <mergeCell ref="O13:O14"/>
    <mergeCell ref="D28:D29"/>
    <mergeCell ref="F28:G28"/>
    <mergeCell ref="H28:I28"/>
    <mergeCell ref="J28:K28"/>
    <mergeCell ref="L28:L29"/>
    <mergeCell ref="M28:M29"/>
    <mergeCell ref="N28:N29"/>
    <mergeCell ref="O28:O29"/>
    <mergeCell ref="D13:D14"/>
    <mergeCell ref="F13:G13"/>
    <mergeCell ref="H13:I13"/>
    <mergeCell ref="J13:K13"/>
    <mergeCell ref="L13:L14"/>
    <mergeCell ref="M13:M14"/>
    <mergeCell ref="D6:D7"/>
    <mergeCell ref="F6:G6"/>
    <mergeCell ref="H6:I6"/>
    <mergeCell ref="J6:K6"/>
    <mergeCell ref="L6:L7"/>
    <mergeCell ref="P6:P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D4">
      <selection activeCell="D22" sqref="D22"/>
    </sheetView>
  </sheetViews>
  <sheetFormatPr defaultColWidth="9.00390625" defaultRowHeight="12.75"/>
  <cols>
    <col min="1" max="1" width="6.125" style="22" customWidth="1"/>
    <col min="2" max="2" width="21.00390625" style="22" customWidth="1"/>
    <col min="3" max="3" width="18.00390625" style="22" customWidth="1"/>
    <col min="4" max="4" width="9.125" style="22" customWidth="1"/>
    <col min="5" max="5" width="9.25390625" style="22" customWidth="1"/>
    <col min="6" max="6" width="7.125" style="22" customWidth="1"/>
    <col min="7" max="7" width="8.00390625" style="22" customWidth="1"/>
    <col min="8" max="8" width="5.375" style="22" customWidth="1"/>
    <col min="9" max="9" width="8.125" style="22" customWidth="1"/>
    <col min="10" max="10" width="7.75390625" style="22" customWidth="1"/>
    <col min="11" max="11" width="9.75390625" style="22" customWidth="1"/>
    <col min="12" max="12" width="14.75390625" style="22" customWidth="1"/>
    <col min="13" max="14" width="12.125" style="22" customWidth="1"/>
    <col min="15" max="15" width="13.75390625" style="22" customWidth="1"/>
    <col min="16" max="16" width="12.25390625" style="22" customWidth="1"/>
    <col min="17" max="17" width="12.375" style="22" customWidth="1"/>
    <col min="18" max="16384" width="9.125" style="22" customWidth="1"/>
  </cols>
  <sheetData>
    <row r="1" ht="12.75">
      <c r="A1" s="22" t="s">
        <v>101</v>
      </c>
    </row>
    <row r="2" spans="1:5" ht="15.75">
      <c r="A2" s="22" t="s">
        <v>102</v>
      </c>
      <c r="E2" s="23"/>
    </row>
    <row r="3" spans="1:5" ht="15.75">
      <c r="A3" s="22" t="s">
        <v>103</v>
      </c>
      <c r="E3" s="23"/>
    </row>
    <row r="4" spans="2:12" ht="19.5">
      <c r="B4" s="24" t="s">
        <v>35</v>
      </c>
      <c r="E4" s="25" t="s">
        <v>106</v>
      </c>
      <c r="F4" s="25"/>
      <c r="G4" s="24"/>
      <c r="H4" s="26"/>
      <c r="I4" s="24" t="s">
        <v>107</v>
      </c>
      <c r="L4" s="24"/>
    </row>
    <row r="6" spans="1:17" ht="41.25" customHeight="1">
      <c r="A6" s="27" t="s">
        <v>36</v>
      </c>
      <c r="B6" s="27" t="s">
        <v>37</v>
      </c>
      <c r="C6" s="27" t="s">
        <v>38</v>
      </c>
      <c r="D6" s="123" t="s">
        <v>39</v>
      </c>
      <c r="E6" s="27" t="s">
        <v>40</v>
      </c>
      <c r="F6" s="125" t="s">
        <v>41</v>
      </c>
      <c r="G6" s="126"/>
      <c r="H6" s="125" t="s">
        <v>42</v>
      </c>
      <c r="I6" s="126"/>
      <c r="J6" s="125" t="s">
        <v>43</v>
      </c>
      <c r="K6" s="126"/>
      <c r="L6" s="123" t="s">
        <v>44</v>
      </c>
      <c r="M6" s="27" t="s">
        <v>45</v>
      </c>
      <c r="N6" s="27" t="s">
        <v>46</v>
      </c>
      <c r="O6" s="27" t="s">
        <v>47</v>
      </c>
      <c r="P6" s="123" t="s">
        <v>48</v>
      </c>
      <c r="Q6" s="27" t="s">
        <v>49</v>
      </c>
    </row>
    <row r="7" spans="1:17" ht="12.75">
      <c r="A7" s="28"/>
      <c r="B7" s="28"/>
      <c r="C7" s="28"/>
      <c r="D7" s="124"/>
      <c r="E7" s="28"/>
      <c r="F7" s="29" t="s">
        <v>50</v>
      </c>
      <c r="G7" s="29" t="s">
        <v>51</v>
      </c>
      <c r="H7" s="29" t="s">
        <v>50</v>
      </c>
      <c r="I7" s="29" t="s">
        <v>51</v>
      </c>
      <c r="J7" s="29" t="s">
        <v>50</v>
      </c>
      <c r="K7" s="29" t="s">
        <v>51</v>
      </c>
      <c r="L7" s="124"/>
      <c r="M7" s="28"/>
      <c r="N7" s="28"/>
      <c r="O7" s="28"/>
      <c r="P7" s="127"/>
      <c r="Q7" s="28"/>
    </row>
    <row r="8" spans="1:17" ht="18" customHeight="1">
      <c r="A8" s="30">
        <v>1</v>
      </c>
      <c r="B8" s="30" t="s">
        <v>52</v>
      </c>
      <c r="C8" s="30" t="s">
        <v>105</v>
      </c>
      <c r="D8" s="30">
        <v>1</v>
      </c>
      <c r="E8" s="30">
        <v>2121</v>
      </c>
      <c r="F8" s="30">
        <v>20</v>
      </c>
      <c r="G8" s="30">
        <f>ROUND(F8*E8/100,2)</f>
        <v>424.2</v>
      </c>
      <c r="H8" s="30">
        <v>60</v>
      </c>
      <c r="I8" s="30">
        <f>ROUND(E8*H8/100,2)</f>
        <v>1272.6</v>
      </c>
      <c r="J8" s="30">
        <v>10</v>
      </c>
      <c r="K8" s="30">
        <f>ROUND(E8*J8/100,2)</f>
        <v>212.1</v>
      </c>
      <c r="L8" s="30">
        <f>ROUND((E8+G8+I8+K8)/12,2)</f>
        <v>335.83</v>
      </c>
      <c r="M8" s="30">
        <f>E8+G8+I8+K8+L8</f>
        <v>4365.73</v>
      </c>
      <c r="N8" s="30">
        <f>M8*2</f>
        <v>8731.46</v>
      </c>
      <c r="O8" s="30">
        <f>ROUND(M8/3,2)</f>
        <v>1455.24</v>
      </c>
      <c r="P8" s="30">
        <f>ROUND((M8+N8+O8)*1.2,2)</f>
        <v>17462.92</v>
      </c>
      <c r="Q8" s="30">
        <f>M8+N8+O8+P8</f>
        <v>32015.35</v>
      </c>
    </row>
    <row r="11" spans="2:4" ht="12.75">
      <c r="B11" s="22" t="s">
        <v>53</v>
      </c>
      <c r="D11" s="22">
        <f>Q8*12</f>
        <v>384184.19999999995</v>
      </c>
    </row>
    <row r="13" ht="16.5" customHeight="1">
      <c r="B13" s="34" t="s">
        <v>69</v>
      </c>
    </row>
    <row r="14" spans="1:17" ht="45.75" customHeight="1">
      <c r="A14" s="27" t="s">
        <v>36</v>
      </c>
      <c r="B14" s="27" t="s">
        <v>37</v>
      </c>
      <c r="C14" s="27" t="s">
        <v>38</v>
      </c>
      <c r="D14" s="123" t="s">
        <v>39</v>
      </c>
      <c r="E14" s="27" t="s">
        <v>40</v>
      </c>
      <c r="F14" s="125" t="s">
        <v>54</v>
      </c>
      <c r="G14" s="126"/>
      <c r="H14" s="125" t="s">
        <v>41</v>
      </c>
      <c r="I14" s="126"/>
      <c r="J14" s="125" t="s">
        <v>42</v>
      </c>
      <c r="K14" s="126"/>
      <c r="L14" s="123" t="s">
        <v>46</v>
      </c>
      <c r="M14" s="123" t="s">
        <v>55</v>
      </c>
      <c r="N14" s="123" t="s">
        <v>56</v>
      </c>
      <c r="O14" s="123" t="s">
        <v>57</v>
      </c>
      <c r="P14"/>
      <c r="Q14"/>
    </row>
    <row r="15" spans="1:17" ht="12" customHeight="1">
      <c r="A15" s="28"/>
      <c r="B15" s="28"/>
      <c r="C15" s="28"/>
      <c r="D15" s="124"/>
      <c r="E15" s="28"/>
      <c r="F15" s="29" t="s">
        <v>58</v>
      </c>
      <c r="G15" s="29" t="s">
        <v>51</v>
      </c>
      <c r="H15" s="29" t="s">
        <v>50</v>
      </c>
      <c r="I15" s="29" t="s">
        <v>51</v>
      </c>
      <c r="J15" s="29" t="s">
        <v>50</v>
      </c>
      <c r="K15" s="29" t="s">
        <v>51</v>
      </c>
      <c r="L15" s="124"/>
      <c r="M15" s="124"/>
      <c r="N15" s="124"/>
      <c r="O15" s="124"/>
      <c r="P15"/>
      <c r="Q15"/>
    </row>
    <row r="16" spans="1:15" ht="38.25">
      <c r="A16" s="31">
        <v>1</v>
      </c>
      <c r="B16" s="32" t="s">
        <v>92</v>
      </c>
      <c r="C16" s="31"/>
      <c r="D16" s="31">
        <v>1</v>
      </c>
      <c r="E16" s="31">
        <v>826</v>
      </c>
      <c r="F16" s="31">
        <v>30</v>
      </c>
      <c r="G16" s="31">
        <f>ROUND(E16*F16/100,2)</f>
        <v>247.8</v>
      </c>
      <c r="H16" s="31">
        <v>0</v>
      </c>
      <c r="I16" s="31">
        <f>ROUND(E16*H16/100,2)</f>
        <v>0</v>
      </c>
      <c r="J16" s="31">
        <v>120</v>
      </c>
      <c r="K16" s="31">
        <f>ROUND(E16*J16/100,2)</f>
        <v>991.2</v>
      </c>
      <c r="L16" s="31">
        <f>E16*3</f>
        <v>2478</v>
      </c>
      <c r="M16" s="31">
        <f>ROUND((E16+G16+I16+K16+L16)*0.7,2)</f>
        <v>3180.1</v>
      </c>
      <c r="N16" s="31">
        <f>ROUND((E16+G16+I16+K16+L16)*0.5,2)</f>
        <v>2271.5</v>
      </c>
      <c r="O16" s="31">
        <f>E16+G16+I16+K16+L16+M16+N16</f>
        <v>9994.6</v>
      </c>
    </row>
    <row r="17" spans="1:15" ht="12.75">
      <c r="A17" s="31">
        <v>2</v>
      </c>
      <c r="B17" s="32" t="s">
        <v>70</v>
      </c>
      <c r="C17" s="31"/>
      <c r="D17" s="31">
        <v>1</v>
      </c>
      <c r="E17" s="31">
        <v>722</v>
      </c>
      <c r="F17" s="31">
        <v>30</v>
      </c>
      <c r="G17" s="31">
        <f>ROUND(E17*F17/100,2)</f>
        <v>216.6</v>
      </c>
      <c r="H17" s="31">
        <v>30</v>
      </c>
      <c r="I17" s="31">
        <f>ROUND(E17*H17/100,2)</f>
        <v>216.6</v>
      </c>
      <c r="J17" s="31">
        <v>30</v>
      </c>
      <c r="K17" s="31">
        <f>ROUND(E17*J17/100,2)</f>
        <v>216.6</v>
      </c>
      <c r="L17" s="31">
        <f>E17*3</f>
        <v>2166</v>
      </c>
      <c r="M17" s="31">
        <f>ROUND((E17+G17+I17+K17+L17)*0.7,2)</f>
        <v>2476.46</v>
      </c>
      <c r="N17" s="31">
        <f>ROUND((E17+G17+I17+K17+L17)*0.5,2)</f>
        <v>1768.9</v>
      </c>
      <c r="O17" s="31">
        <f>E17+G17+I17+K17+L17+M17+N17</f>
        <v>7783.16</v>
      </c>
    </row>
    <row r="18" spans="1:15" ht="12.75">
      <c r="A18" s="31"/>
      <c r="B18" s="32" t="s">
        <v>0</v>
      </c>
      <c r="C18" s="31"/>
      <c r="D18" s="31">
        <f>SUM(D16:D17)</f>
        <v>2</v>
      </c>
      <c r="E18" s="31">
        <f aca="true" t="shared" si="0" ref="E18:O18">SUM(E16:E17)</f>
        <v>1548</v>
      </c>
      <c r="F18" s="31"/>
      <c r="G18" s="31">
        <f t="shared" si="0"/>
        <v>464.4</v>
      </c>
      <c r="H18" s="31"/>
      <c r="I18" s="31">
        <f t="shared" si="0"/>
        <v>216.6</v>
      </c>
      <c r="J18" s="31"/>
      <c r="K18" s="31">
        <f t="shared" si="0"/>
        <v>1207.8</v>
      </c>
      <c r="L18" s="31">
        <f t="shared" si="0"/>
        <v>4644</v>
      </c>
      <c r="M18" s="31">
        <f t="shared" si="0"/>
        <v>5656.5599999999995</v>
      </c>
      <c r="N18" s="31">
        <f t="shared" si="0"/>
        <v>4040.4</v>
      </c>
      <c r="O18" s="31">
        <f t="shared" si="0"/>
        <v>17777.760000000002</v>
      </c>
    </row>
    <row r="20" spans="2:6" ht="12.75">
      <c r="B20" s="22" t="s">
        <v>59</v>
      </c>
      <c r="D20" s="22" t="s">
        <v>93</v>
      </c>
      <c r="F20" s="22">
        <f>ROUND((E18+G18)*2*2.2,2)</f>
        <v>8854.56</v>
      </c>
    </row>
    <row r="21" spans="2:6" ht="12.75">
      <c r="B21" s="22" t="s">
        <v>60</v>
      </c>
      <c r="D21" s="22" t="s">
        <v>94</v>
      </c>
      <c r="F21" s="22">
        <f>ROUND((E18+G18)*3*2.2,2)</f>
        <v>13281.84</v>
      </c>
    </row>
    <row r="22" spans="2:4" ht="12.75">
      <c r="B22" s="22" t="s">
        <v>53</v>
      </c>
      <c r="D22" s="22">
        <f>O18*12+F20+F21</f>
        <v>235469.52000000002</v>
      </c>
    </row>
    <row r="24" ht="12.75">
      <c r="B24" s="34" t="s">
        <v>71</v>
      </c>
    </row>
    <row r="25" spans="1:15" ht="25.5" customHeight="1">
      <c r="A25" s="27" t="s">
        <v>36</v>
      </c>
      <c r="B25" s="27" t="s">
        <v>37</v>
      </c>
      <c r="C25" s="27" t="s">
        <v>38</v>
      </c>
      <c r="D25" s="123" t="s">
        <v>39</v>
      </c>
      <c r="E25" s="27" t="s">
        <v>40</v>
      </c>
      <c r="F25" s="125" t="s">
        <v>61</v>
      </c>
      <c r="G25" s="126"/>
      <c r="H25" s="125" t="s">
        <v>41</v>
      </c>
      <c r="I25" s="126"/>
      <c r="J25" s="125"/>
      <c r="K25" s="126"/>
      <c r="L25" s="123"/>
      <c r="M25" s="123" t="s">
        <v>55</v>
      </c>
      <c r="N25" s="123" t="s">
        <v>56</v>
      </c>
      <c r="O25" s="123" t="s">
        <v>57</v>
      </c>
    </row>
    <row r="26" spans="1:15" ht="12.75">
      <c r="A26" s="28"/>
      <c r="B26" s="28"/>
      <c r="C26" s="28"/>
      <c r="D26" s="128"/>
      <c r="E26" s="28"/>
      <c r="F26" s="29" t="s">
        <v>50</v>
      </c>
      <c r="G26" s="29" t="s">
        <v>51</v>
      </c>
      <c r="H26" s="29" t="s">
        <v>50</v>
      </c>
      <c r="I26" s="29" t="s">
        <v>51</v>
      </c>
      <c r="J26" s="29"/>
      <c r="K26" s="29"/>
      <c r="L26" s="128"/>
      <c r="M26" s="128"/>
      <c r="N26" s="128"/>
      <c r="O26" s="128"/>
    </row>
    <row r="27" spans="1:15" ht="12.75">
      <c r="A27" s="31">
        <v>1</v>
      </c>
      <c r="B27" s="32" t="s">
        <v>62</v>
      </c>
      <c r="C27" s="31"/>
      <c r="D27" s="31">
        <v>0.5</v>
      </c>
      <c r="E27" s="31">
        <v>400</v>
      </c>
      <c r="F27" s="31">
        <v>50</v>
      </c>
      <c r="G27" s="31">
        <f>ROUND(E27*F27/100,2)</f>
        <v>200</v>
      </c>
      <c r="H27" s="31"/>
      <c r="I27" s="31">
        <f>ROUND(E27*H27/100,2)</f>
        <v>0</v>
      </c>
      <c r="J27" s="31"/>
      <c r="K27" s="31">
        <f>ROUND(E27*J27/100,2)</f>
        <v>0</v>
      </c>
      <c r="L27" s="31"/>
      <c r="M27" s="31">
        <f>ROUND((E27+G27+I27+K27+L27)*0.7,2)</f>
        <v>420</v>
      </c>
      <c r="N27" s="31">
        <f>ROUND((E27+G27+I27)*0.5,2)</f>
        <v>300</v>
      </c>
      <c r="O27" s="31">
        <f>E27+G27+I27+K27+L27+M27+N27</f>
        <v>1320</v>
      </c>
    </row>
    <row r="28" spans="1:15" ht="12.75">
      <c r="A28" s="31">
        <v>3</v>
      </c>
      <c r="B28" s="32" t="s">
        <v>95</v>
      </c>
      <c r="C28" s="31"/>
      <c r="D28" s="31">
        <v>0.5</v>
      </c>
      <c r="E28" s="31">
        <v>445</v>
      </c>
      <c r="F28" s="31">
        <v>50</v>
      </c>
      <c r="G28" s="31">
        <f>ROUND(E28*F28/100,2)</f>
        <v>222.5</v>
      </c>
      <c r="H28" s="31"/>
      <c r="I28" s="31"/>
      <c r="J28" s="31"/>
      <c r="K28" s="31"/>
      <c r="L28" s="31"/>
      <c r="M28" s="31">
        <f>ROUND((E28+G28+I28+K28+L28)*0.7,2)</f>
        <v>467.25</v>
      </c>
      <c r="N28" s="31">
        <f>ROUND((E28+G28+I28)*0.5,2)</f>
        <v>333.75</v>
      </c>
      <c r="O28" s="31">
        <f>E28+G28+I28+K28+L28+M28+N28</f>
        <v>1468.5</v>
      </c>
    </row>
    <row r="29" spans="1:15" ht="12.75">
      <c r="A29" s="31">
        <v>4</v>
      </c>
      <c r="B29" s="32" t="s">
        <v>96</v>
      </c>
      <c r="C29" s="31"/>
      <c r="D29" s="31">
        <v>3</v>
      </c>
      <c r="E29" s="31">
        <v>2670</v>
      </c>
      <c r="F29" s="31">
        <v>50</v>
      </c>
      <c r="G29" s="31">
        <f>ROUND(E29*F29/100,2)</f>
        <v>1335</v>
      </c>
      <c r="H29" s="31"/>
      <c r="I29" s="31"/>
      <c r="J29" s="31"/>
      <c r="K29" s="31"/>
      <c r="L29" s="31"/>
      <c r="M29" s="31">
        <f>ROUND((E29+G29+I29+K29+L29)*0.7,2)</f>
        <v>2803.5</v>
      </c>
      <c r="N29" s="31">
        <f>ROUND((E29+G29+I29)*0.5,2)</f>
        <v>2002.5</v>
      </c>
      <c r="O29" s="31">
        <f>E29+G29+I29+K29+L29+M29+N29</f>
        <v>8811</v>
      </c>
    </row>
    <row r="30" spans="1:15" ht="12.75">
      <c r="A30" s="31"/>
      <c r="B30" s="32" t="s">
        <v>0</v>
      </c>
      <c r="C30" s="31"/>
      <c r="D30" s="31">
        <f>SUM(D27:D29)</f>
        <v>4</v>
      </c>
      <c r="E30" s="31">
        <f>SUM(E27:E29)</f>
        <v>3515</v>
      </c>
      <c r="F30" s="31"/>
      <c r="G30" s="31">
        <f aca="true" t="shared" si="1" ref="G30:O30">SUM(G27:G29)</f>
        <v>1757.5</v>
      </c>
      <c r="H30" s="31">
        <f t="shared" si="1"/>
        <v>0</v>
      </c>
      <c r="I30" s="31">
        <f t="shared" si="1"/>
        <v>0</v>
      </c>
      <c r="J30" s="31">
        <f t="shared" si="1"/>
        <v>0</v>
      </c>
      <c r="K30" s="31">
        <f t="shared" si="1"/>
        <v>0</v>
      </c>
      <c r="L30" s="31">
        <f t="shared" si="1"/>
        <v>0</v>
      </c>
      <c r="M30" s="31">
        <f t="shared" si="1"/>
        <v>3690.75</v>
      </c>
      <c r="N30" s="31">
        <f t="shared" si="1"/>
        <v>2636.25</v>
      </c>
      <c r="O30" s="31">
        <f t="shared" si="1"/>
        <v>11599.5</v>
      </c>
    </row>
    <row r="31" spans="13:15" ht="12.75">
      <c r="M31" s="22" t="s">
        <v>63</v>
      </c>
      <c r="O31" s="33">
        <f>O30*0.375</f>
        <v>4349.8125</v>
      </c>
    </row>
    <row r="32" spans="2:7" ht="12.75">
      <c r="B32" s="22" t="s">
        <v>64</v>
      </c>
      <c r="D32" s="22" t="s">
        <v>98</v>
      </c>
      <c r="G32" s="22">
        <f>E30*3*2.2</f>
        <v>23199.000000000004</v>
      </c>
    </row>
    <row r="33" spans="2:7" ht="12.75">
      <c r="B33" s="22" t="s">
        <v>65</v>
      </c>
      <c r="D33" s="22" t="s">
        <v>99</v>
      </c>
      <c r="G33" s="22">
        <f>E30*2*2.2</f>
        <v>15466.000000000002</v>
      </c>
    </row>
    <row r="34" spans="2:7" ht="12.75">
      <c r="B34" s="22" t="s">
        <v>66</v>
      </c>
      <c r="D34" s="22" t="s">
        <v>100</v>
      </c>
      <c r="G34" s="22">
        <f>O31*8</f>
        <v>34798.5</v>
      </c>
    </row>
    <row r="35" spans="2:4" ht="12.75">
      <c r="B35" s="22" t="s">
        <v>67</v>
      </c>
      <c r="D35" s="22">
        <f>O30*12+G32+G33+G34</f>
        <v>212657.5</v>
      </c>
    </row>
    <row r="38" spans="2:4" ht="13.5">
      <c r="B38" s="22" t="s">
        <v>68</v>
      </c>
      <c r="D38" s="26">
        <f>D11+D22+D35</f>
        <v>832311.22</v>
      </c>
    </row>
  </sheetData>
  <sheetProtection/>
  <mergeCells count="22">
    <mergeCell ref="D6:D7"/>
    <mergeCell ref="F6:G6"/>
    <mergeCell ref="H6:I6"/>
    <mergeCell ref="J6:K6"/>
    <mergeCell ref="D14:D15"/>
    <mergeCell ref="F14:G14"/>
    <mergeCell ref="H14:I14"/>
    <mergeCell ref="J14:K14"/>
    <mergeCell ref="P6:P7"/>
    <mergeCell ref="L14:L15"/>
    <mergeCell ref="M14:M15"/>
    <mergeCell ref="L6:L7"/>
    <mergeCell ref="L25:L26"/>
    <mergeCell ref="M25:M26"/>
    <mergeCell ref="N25:N26"/>
    <mergeCell ref="O25:O26"/>
    <mergeCell ref="D25:D26"/>
    <mergeCell ref="F25:G25"/>
    <mergeCell ref="H25:I25"/>
    <mergeCell ref="J25:K25"/>
    <mergeCell ref="N14:N15"/>
    <mergeCell ref="O14:O15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2"/>
  <sheetViews>
    <sheetView tabSelected="1" zoomScale="110" zoomScaleNormal="110" zoomScalePageLayoutView="0" workbookViewId="0" topLeftCell="A1">
      <selection activeCell="T28" sqref="T28"/>
    </sheetView>
  </sheetViews>
  <sheetFormatPr defaultColWidth="9.00390625" defaultRowHeight="12.75" outlineLevelRow="1"/>
  <cols>
    <col min="1" max="1" width="30.625" style="39" customWidth="1"/>
    <col min="2" max="2" width="6.875" style="38" customWidth="1"/>
    <col min="3" max="3" width="8.25390625" style="38" customWidth="1"/>
    <col min="4" max="4" width="7.00390625" style="38" customWidth="1"/>
    <col min="5" max="5" width="5.125" style="38" customWidth="1"/>
    <col min="6" max="6" width="5.375" style="38" customWidth="1"/>
    <col min="7" max="7" width="6.25390625" style="38" customWidth="1"/>
    <col min="8" max="8" width="5.125" style="38" customWidth="1"/>
    <col min="9" max="9" width="5.75390625" style="38" customWidth="1"/>
    <col min="10" max="10" width="5.875" style="38" customWidth="1"/>
    <col min="11" max="11" width="6.125" style="38" customWidth="1"/>
    <col min="12" max="12" width="5.25390625" style="38" customWidth="1"/>
    <col min="13" max="13" width="6.625" style="38" customWidth="1"/>
    <col min="14" max="15" width="7.00390625" style="38" customWidth="1"/>
    <col min="16" max="16" width="7.125" style="38" customWidth="1"/>
    <col min="17" max="17" width="6.75390625" style="38" customWidth="1"/>
    <col min="18" max="18" width="5.25390625" style="38" customWidth="1"/>
    <col min="19" max="19" width="5.75390625" style="38" customWidth="1"/>
    <col min="20" max="20" width="9.375" style="38" bestFit="1" customWidth="1"/>
    <col min="21" max="16384" width="9.125" style="38" customWidth="1"/>
  </cols>
  <sheetData>
    <row r="1" ht="13.5"/>
    <row r="2" spans="1:8" ht="13.5">
      <c r="A2" s="129" t="s">
        <v>169</v>
      </c>
      <c r="B2" s="129"/>
      <c r="C2" s="129"/>
      <c r="D2" s="129"/>
      <c r="E2" s="129"/>
      <c r="F2" s="129"/>
      <c r="G2" s="129"/>
      <c r="H2" s="129"/>
    </row>
    <row r="3" spans="1:8" ht="13.5">
      <c r="A3" s="35"/>
      <c r="B3" s="60"/>
      <c r="C3" s="60"/>
      <c r="D3" s="60"/>
      <c r="E3" s="60"/>
      <c r="F3" s="60"/>
      <c r="G3" s="60"/>
      <c r="H3" s="60"/>
    </row>
    <row r="4" spans="19:20" ht="12" customHeight="1">
      <c r="S4" s="130" t="s">
        <v>132</v>
      </c>
      <c r="T4" s="130"/>
    </row>
    <row r="5" spans="1:20" s="39" customFormat="1" ht="38.25" customHeight="1">
      <c r="A5" s="131" t="s">
        <v>74</v>
      </c>
      <c r="B5" s="131" t="s">
        <v>75</v>
      </c>
      <c r="C5" s="133" t="s">
        <v>72</v>
      </c>
      <c r="D5" s="133"/>
      <c r="E5" s="133"/>
      <c r="F5" s="134" t="s">
        <v>76</v>
      </c>
      <c r="G5" s="134"/>
      <c r="H5" s="134"/>
      <c r="I5" s="134"/>
      <c r="J5" s="134"/>
      <c r="K5" s="134"/>
      <c r="L5" s="40"/>
      <c r="M5" s="134"/>
      <c r="N5" s="134"/>
      <c r="O5" s="40"/>
      <c r="P5" s="36" t="s">
        <v>129</v>
      </c>
      <c r="Q5" s="55" t="s">
        <v>73</v>
      </c>
      <c r="R5" s="134"/>
      <c r="S5" s="134"/>
      <c r="T5" s="41"/>
    </row>
    <row r="6" spans="1:20" s="39" customFormat="1" ht="16.5" customHeight="1">
      <c r="A6" s="132"/>
      <c r="B6" s="132"/>
      <c r="C6" s="41">
        <v>211</v>
      </c>
      <c r="D6" s="41">
        <v>213</v>
      </c>
      <c r="E6" s="41">
        <v>212</v>
      </c>
      <c r="F6" s="41">
        <v>221</v>
      </c>
      <c r="G6" s="41">
        <v>222</v>
      </c>
      <c r="H6" s="41">
        <v>223</v>
      </c>
      <c r="I6" s="41">
        <v>224</v>
      </c>
      <c r="J6" s="41">
        <v>225</v>
      </c>
      <c r="K6" s="41">
        <v>226</v>
      </c>
      <c r="L6" s="41">
        <v>231</v>
      </c>
      <c r="M6" s="41">
        <v>241</v>
      </c>
      <c r="N6" s="41">
        <v>242</v>
      </c>
      <c r="O6" s="41">
        <v>251</v>
      </c>
      <c r="P6" s="41">
        <v>260</v>
      </c>
      <c r="Q6" s="41">
        <v>290</v>
      </c>
      <c r="R6" s="41">
        <v>310</v>
      </c>
      <c r="S6" s="41">
        <v>340</v>
      </c>
      <c r="T6" s="41" t="s">
        <v>13</v>
      </c>
    </row>
    <row r="7" spans="1:20" ht="17.25" customHeight="1">
      <c r="A7" s="42" t="s">
        <v>85</v>
      </c>
      <c r="B7" s="43" t="s">
        <v>77</v>
      </c>
      <c r="C7" s="75">
        <v>425.92</v>
      </c>
      <c r="D7" s="75">
        <v>128.63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75">
        <f>SUM(C7:S7)</f>
        <v>554.55</v>
      </c>
    </row>
    <row r="8" spans="1:21" ht="21.75" customHeight="1">
      <c r="A8" s="42" t="s">
        <v>86</v>
      </c>
      <c r="B8" s="43" t="s">
        <v>78</v>
      </c>
      <c r="C8" s="75">
        <v>1302.18</v>
      </c>
      <c r="D8" s="75">
        <v>393.26</v>
      </c>
      <c r="E8" s="75">
        <v>57</v>
      </c>
      <c r="F8" s="75">
        <v>15.9</v>
      </c>
      <c r="G8" s="75">
        <v>30</v>
      </c>
      <c r="H8" s="75"/>
      <c r="I8" s="68"/>
      <c r="J8" s="75"/>
      <c r="K8" s="75">
        <v>80</v>
      </c>
      <c r="L8" s="68"/>
      <c r="M8" s="68"/>
      <c r="N8" s="68"/>
      <c r="O8" s="68"/>
      <c r="P8" s="68"/>
      <c r="Q8" s="69">
        <v>20</v>
      </c>
      <c r="R8" s="75">
        <v>35</v>
      </c>
      <c r="S8" s="68">
        <v>212.48</v>
      </c>
      <c r="T8" s="75">
        <f>C8+D8+E8+F8+G8+H8+I8+J8+K8+L8+R8+S8+Q8</f>
        <v>2145.82</v>
      </c>
      <c r="U8" s="76"/>
    </row>
    <row r="9" spans="1:20" ht="19.5" customHeight="1">
      <c r="A9" s="90" t="s">
        <v>79</v>
      </c>
      <c r="B9" s="63" t="s">
        <v>80</v>
      </c>
      <c r="C9" s="93">
        <v>1728.1</v>
      </c>
      <c r="D9" s="94">
        <f aca="true" t="shared" si="0" ref="D9:I9">SUM(D7:D8)</f>
        <v>521.89</v>
      </c>
      <c r="E9" s="95">
        <f>SUM(E7:E8)</f>
        <v>57</v>
      </c>
      <c r="F9" s="95">
        <f>SUM(F7:F8)</f>
        <v>15.9</v>
      </c>
      <c r="G9" s="95">
        <f t="shared" si="0"/>
        <v>30</v>
      </c>
      <c r="H9" s="95">
        <v>269.31</v>
      </c>
      <c r="I9" s="95">
        <f t="shared" si="0"/>
        <v>0</v>
      </c>
      <c r="J9" s="95"/>
      <c r="K9" s="95">
        <v>80</v>
      </c>
      <c r="L9" s="96">
        <f>SUM(L7:L8)</f>
        <v>0</v>
      </c>
      <c r="M9" s="95">
        <f>SUM(M7:M8)</f>
        <v>0</v>
      </c>
      <c r="N9" s="95">
        <f>SUM(N7:N8)</f>
        <v>0</v>
      </c>
      <c r="O9" s="95"/>
      <c r="P9" s="95">
        <f>SUM(P7:P8)</f>
        <v>0</v>
      </c>
      <c r="Q9" s="96">
        <f>SUM(Q7:Q8)</f>
        <v>20</v>
      </c>
      <c r="R9" s="95">
        <f>SUM(R7:R8)</f>
        <v>35</v>
      </c>
      <c r="S9" s="95">
        <f>SUM(S7:S8)</f>
        <v>212.48</v>
      </c>
      <c r="T9" s="94">
        <f>SUM(C9:S9)</f>
        <v>2969.68</v>
      </c>
    </row>
    <row r="10" spans="1:20" ht="15" customHeight="1">
      <c r="A10" s="89" t="s">
        <v>152</v>
      </c>
      <c r="B10" s="62" t="s">
        <v>130</v>
      </c>
      <c r="C10" s="88"/>
      <c r="D10" s="87"/>
      <c r="E10" s="88"/>
      <c r="F10" s="88"/>
      <c r="G10" s="88"/>
      <c r="H10" s="88"/>
      <c r="I10" s="88"/>
      <c r="J10" s="88"/>
      <c r="K10" s="88"/>
      <c r="L10" s="74"/>
      <c r="M10" s="88"/>
      <c r="N10" s="88"/>
      <c r="O10" s="88"/>
      <c r="P10" s="88"/>
      <c r="Q10" s="72"/>
      <c r="R10" s="88"/>
      <c r="S10" s="88"/>
      <c r="T10" s="71"/>
    </row>
    <row r="11" spans="1:20" ht="36.75" customHeight="1">
      <c r="A11" s="122" t="s">
        <v>151</v>
      </c>
      <c r="B11" s="105" t="s">
        <v>130</v>
      </c>
      <c r="C11" s="97"/>
      <c r="D11" s="98"/>
      <c r="E11" s="99"/>
      <c r="F11" s="99"/>
      <c r="G11" s="99"/>
      <c r="H11" s="99"/>
      <c r="I11" s="99"/>
      <c r="J11" s="99"/>
      <c r="K11" s="99"/>
      <c r="L11" s="100"/>
      <c r="M11" s="99"/>
      <c r="N11" s="99"/>
      <c r="O11" s="99"/>
      <c r="P11" s="99"/>
      <c r="Q11" s="100"/>
      <c r="R11" s="99"/>
      <c r="S11" s="99"/>
      <c r="T11" s="98"/>
    </row>
    <row r="12" spans="1:20" ht="15" customHeight="1">
      <c r="A12" s="65" t="s">
        <v>141</v>
      </c>
      <c r="B12" s="52" t="s">
        <v>143</v>
      </c>
      <c r="C12" s="53"/>
      <c r="D12" s="58"/>
      <c r="E12" s="53"/>
      <c r="F12" s="53"/>
      <c r="G12" s="53"/>
      <c r="H12" s="53"/>
      <c r="I12" s="53"/>
      <c r="J12" s="53"/>
      <c r="K12" s="53"/>
      <c r="L12" s="58"/>
      <c r="M12" s="53"/>
      <c r="N12" s="53"/>
      <c r="O12" s="53"/>
      <c r="P12" s="53"/>
      <c r="Q12" s="57">
        <v>30</v>
      </c>
      <c r="R12" s="53"/>
      <c r="S12" s="53"/>
      <c r="T12" s="58">
        <f>Q12</f>
        <v>30</v>
      </c>
    </row>
    <row r="13" spans="1:20" ht="12.75">
      <c r="A13" s="91" t="s">
        <v>142</v>
      </c>
      <c r="B13" s="101" t="s">
        <v>143</v>
      </c>
      <c r="C13" s="95"/>
      <c r="D13" s="96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6">
        <f>Q12</f>
        <v>30</v>
      </c>
      <c r="R13" s="95"/>
      <c r="S13" s="95"/>
      <c r="T13" s="94">
        <f>Q13</f>
        <v>30</v>
      </c>
    </row>
    <row r="14" spans="1:20" ht="30" customHeight="1">
      <c r="A14" s="61" t="s">
        <v>131</v>
      </c>
      <c r="B14" s="62" t="s">
        <v>133</v>
      </c>
      <c r="C14" s="49">
        <v>53.68</v>
      </c>
      <c r="D14" s="71">
        <v>16.21</v>
      </c>
      <c r="E14" s="72"/>
      <c r="F14" s="73"/>
      <c r="G14" s="73"/>
      <c r="H14" s="73"/>
      <c r="I14" s="73"/>
      <c r="J14" s="73"/>
      <c r="K14" s="73"/>
      <c r="L14" s="72"/>
      <c r="M14" s="73"/>
      <c r="N14" s="73"/>
      <c r="O14" s="73"/>
      <c r="P14" s="73"/>
      <c r="Q14" s="72"/>
      <c r="R14" s="73"/>
      <c r="S14" s="73">
        <v>3.41</v>
      </c>
      <c r="T14" s="74">
        <f>SUM(C14:S14)</f>
        <v>73.3</v>
      </c>
    </row>
    <row r="15" spans="1:20" ht="41.25" customHeight="1">
      <c r="A15" s="92" t="s">
        <v>137</v>
      </c>
      <c r="B15" s="101" t="s">
        <v>133</v>
      </c>
      <c r="C15" s="102">
        <f>C14</f>
        <v>53.68</v>
      </c>
      <c r="D15" s="102">
        <f aca="true" t="shared" si="1" ref="D15:T15">D14</f>
        <v>16.21</v>
      </c>
      <c r="E15" s="102">
        <f t="shared" si="1"/>
        <v>0</v>
      </c>
      <c r="F15" s="102">
        <f t="shared" si="1"/>
        <v>0</v>
      </c>
      <c r="G15" s="102">
        <f t="shared" si="1"/>
        <v>0</v>
      </c>
      <c r="H15" s="102">
        <f t="shared" si="1"/>
        <v>0</v>
      </c>
      <c r="I15" s="102">
        <f t="shared" si="1"/>
        <v>0</v>
      </c>
      <c r="J15" s="102">
        <f t="shared" si="1"/>
        <v>0</v>
      </c>
      <c r="K15" s="102">
        <f t="shared" si="1"/>
        <v>0</v>
      </c>
      <c r="L15" s="102">
        <f t="shared" si="1"/>
        <v>0</v>
      </c>
      <c r="M15" s="102">
        <f t="shared" si="1"/>
        <v>0</v>
      </c>
      <c r="N15" s="102">
        <f t="shared" si="1"/>
        <v>0</v>
      </c>
      <c r="O15" s="102">
        <f t="shared" si="1"/>
        <v>0</v>
      </c>
      <c r="P15" s="102">
        <f t="shared" si="1"/>
        <v>0</v>
      </c>
      <c r="Q15" s="102">
        <f t="shared" si="1"/>
        <v>0</v>
      </c>
      <c r="R15" s="102">
        <f t="shared" si="1"/>
        <v>0</v>
      </c>
      <c r="S15" s="103">
        <f t="shared" si="1"/>
        <v>3.41</v>
      </c>
      <c r="T15" s="104">
        <f t="shared" si="1"/>
        <v>73.3</v>
      </c>
    </row>
    <row r="16" spans="1:20" ht="33.75" customHeight="1">
      <c r="A16" s="106" t="s">
        <v>154</v>
      </c>
      <c r="B16" s="46" t="s">
        <v>153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ht="69" customHeight="1" collapsed="1">
      <c r="A17" s="92" t="s">
        <v>154</v>
      </c>
      <c r="B17" s="101" t="s">
        <v>153</v>
      </c>
      <c r="C17" s="78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95">
        <f>Q16</f>
        <v>0</v>
      </c>
      <c r="R17" s="64"/>
      <c r="S17" s="64"/>
      <c r="T17" s="64">
        <f>Q17</f>
        <v>0</v>
      </c>
    </row>
    <row r="18" spans="1:20" ht="27" customHeight="1" outlineLevel="1">
      <c r="A18" s="79" t="s">
        <v>127</v>
      </c>
      <c r="B18" s="47" t="s">
        <v>155</v>
      </c>
      <c r="C18" s="44"/>
      <c r="D18" s="44"/>
      <c r="E18" s="44"/>
      <c r="F18" s="44"/>
      <c r="G18" s="44"/>
      <c r="H18" s="44"/>
      <c r="I18" s="44"/>
      <c r="J18" s="44">
        <v>388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28.5" customHeight="1" outlineLevel="1">
      <c r="A19" s="107" t="s">
        <v>156</v>
      </c>
      <c r="B19" s="112" t="s">
        <v>155</v>
      </c>
      <c r="C19" s="108">
        <f aca="true" t="shared" si="2" ref="C19:S19">SUM(C18:C18)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388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09">
        <f t="shared" si="2"/>
        <v>0</v>
      </c>
      <c r="Q19" s="109">
        <f t="shared" si="2"/>
        <v>0</v>
      </c>
      <c r="R19" s="109">
        <f t="shared" si="2"/>
        <v>0</v>
      </c>
      <c r="S19" s="109">
        <f t="shared" si="2"/>
        <v>0</v>
      </c>
      <c r="T19" s="109">
        <f>SUM(C19:S19)</f>
        <v>388</v>
      </c>
    </row>
    <row r="20" spans="1:20" ht="17.25" customHeight="1">
      <c r="A20" s="48" t="s">
        <v>139</v>
      </c>
      <c r="B20" s="43" t="s">
        <v>134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68">
        <v>50</v>
      </c>
      <c r="O20" s="44"/>
      <c r="P20" s="44"/>
      <c r="Q20" s="44"/>
      <c r="R20" s="44"/>
      <c r="S20" s="44"/>
      <c r="T20" s="75">
        <f>SUM(C20:S20)</f>
        <v>50</v>
      </c>
    </row>
    <row r="21" spans="1:20" ht="22.5" outlineLevel="1">
      <c r="A21" s="50" t="s">
        <v>140</v>
      </c>
      <c r="B21" s="47" t="s">
        <v>134</v>
      </c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56"/>
      <c r="N21" s="68">
        <v>40</v>
      </c>
      <c r="O21" s="44"/>
      <c r="P21" s="44"/>
      <c r="Q21" s="44"/>
      <c r="R21" s="44"/>
      <c r="S21" s="44"/>
      <c r="T21" s="75">
        <f>SUM(C21:S21)</f>
        <v>40</v>
      </c>
    </row>
    <row r="22" spans="1:20" ht="24.75" customHeight="1">
      <c r="A22" s="50" t="s">
        <v>128</v>
      </c>
      <c r="B22" s="47" t="s">
        <v>134</v>
      </c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56"/>
      <c r="N22" s="70">
        <v>70</v>
      </c>
      <c r="O22" s="44"/>
      <c r="P22" s="44"/>
      <c r="Q22" s="44"/>
      <c r="R22" s="44"/>
      <c r="S22" s="44"/>
      <c r="T22" s="75">
        <f>SUM(C22:S22)</f>
        <v>70</v>
      </c>
    </row>
    <row r="23" spans="1:20" ht="16.5" customHeight="1">
      <c r="A23" s="50" t="s">
        <v>157</v>
      </c>
      <c r="B23" s="43" t="s">
        <v>134</v>
      </c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56"/>
      <c r="N23" s="75">
        <v>0</v>
      </c>
      <c r="O23" s="44"/>
      <c r="P23" s="44"/>
      <c r="Q23" s="44"/>
      <c r="R23" s="44"/>
      <c r="S23" s="44"/>
      <c r="T23" s="75">
        <f>N23</f>
        <v>0</v>
      </c>
    </row>
    <row r="24" spans="1:20" ht="21" customHeight="1">
      <c r="A24" s="110" t="s">
        <v>138</v>
      </c>
      <c r="B24" s="111" t="s">
        <v>134</v>
      </c>
      <c r="C24" s="95">
        <f aca="true" t="shared" si="3" ref="C24:M24">SUM(C20:C22)</f>
        <v>0</v>
      </c>
      <c r="D24" s="95">
        <f t="shared" si="3"/>
        <v>0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6">
        <f t="shared" si="3"/>
        <v>0</v>
      </c>
      <c r="N24" s="96"/>
      <c r="O24" s="95">
        <f>SUM(O20:O22)</f>
        <v>0</v>
      </c>
      <c r="P24" s="95">
        <f>SUM(P20:P22)</f>
        <v>0</v>
      </c>
      <c r="Q24" s="95">
        <f>SUM(Q20:Q22)</f>
        <v>0</v>
      </c>
      <c r="R24" s="95">
        <f>SUM(R20:R22)</f>
        <v>0</v>
      </c>
      <c r="S24" s="95">
        <f>SUM(S20:S22)</f>
        <v>0</v>
      </c>
      <c r="T24" s="94">
        <f>SUM(T20:T22)+T23</f>
        <v>160</v>
      </c>
    </row>
    <row r="25" spans="1:20" ht="14.25" customHeight="1">
      <c r="A25" s="51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5" customHeight="1">
      <c r="A26" s="66" t="s">
        <v>135</v>
      </c>
      <c r="B26" s="67" t="s">
        <v>81</v>
      </c>
      <c r="C26" s="68">
        <v>376.19</v>
      </c>
      <c r="D26" s="68">
        <v>113.61</v>
      </c>
      <c r="E26" s="68">
        <v>30</v>
      </c>
      <c r="F26" s="68"/>
      <c r="G26" s="68"/>
      <c r="H26" s="68">
        <v>245</v>
      </c>
      <c r="I26" s="68"/>
      <c r="J26" s="68"/>
      <c r="K26" s="68">
        <v>6.5</v>
      </c>
      <c r="L26" s="68"/>
      <c r="M26" s="68"/>
      <c r="N26" s="68"/>
      <c r="O26" s="68"/>
      <c r="P26" s="68"/>
      <c r="Q26" s="68"/>
      <c r="R26" s="68">
        <v>36</v>
      </c>
      <c r="S26" s="68">
        <v>19.5</v>
      </c>
      <c r="T26" s="75">
        <f>SUM(C26:S26)</f>
        <v>826.8</v>
      </c>
    </row>
    <row r="27" spans="1:20" ht="15" customHeight="1">
      <c r="A27" s="66" t="s">
        <v>136</v>
      </c>
      <c r="B27" s="67" t="s">
        <v>81</v>
      </c>
      <c r="C27" s="68">
        <v>357.4</v>
      </c>
      <c r="D27" s="68">
        <v>107.93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75">
        <f>SUM(C27:S27)</f>
        <v>465.33</v>
      </c>
    </row>
    <row r="28" spans="1:21" ht="15" customHeight="1">
      <c r="A28" s="119" t="s">
        <v>82</v>
      </c>
      <c r="B28" s="120" t="s">
        <v>83</v>
      </c>
      <c r="C28" s="95">
        <f>C26+C27</f>
        <v>733.5899999999999</v>
      </c>
      <c r="D28" s="95">
        <f aca="true" t="shared" si="4" ref="D28:Q28">D26+D27</f>
        <v>221.54000000000002</v>
      </c>
      <c r="E28" s="95">
        <f t="shared" si="4"/>
        <v>30</v>
      </c>
      <c r="F28" s="95">
        <f t="shared" si="4"/>
        <v>0</v>
      </c>
      <c r="G28" s="95">
        <f t="shared" si="4"/>
        <v>0</v>
      </c>
      <c r="H28" s="95">
        <v>244.6</v>
      </c>
      <c r="I28" s="95">
        <f t="shared" si="4"/>
        <v>0</v>
      </c>
      <c r="J28" s="95">
        <v>0</v>
      </c>
      <c r="K28" s="95">
        <v>6.5</v>
      </c>
      <c r="L28" s="95">
        <f t="shared" si="4"/>
        <v>0</v>
      </c>
      <c r="M28" s="95">
        <f t="shared" si="4"/>
        <v>0</v>
      </c>
      <c r="N28" s="95">
        <f t="shared" si="4"/>
        <v>0</v>
      </c>
      <c r="O28" s="95">
        <f t="shared" si="4"/>
        <v>0</v>
      </c>
      <c r="P28" s="95">
        <f t="shared" si="4"/>
        <v>0</v>
      </c>
      <c r="Q28" s="95">
        <f t="shared" si="4"/>
        <v>0</v>
      </c>
      <c r="R28" s="95">
        <v>36</v>
      </c>
      <c r="S28" s="95">
        <v>19.5</v>
      </c>
      <c r="T28" s="94">
        <f>SUM(T26:T27)</f>
        <v>1292.1299999999999</v>
      </c>
      <c r="U28" s="38" t="s">
        <v>168</v>
      </c>
    </row>
    <row r="29" spans="1:20" ht="24.75" customHeight="1">
      <c r="A29" s="121" t="s">
        <v>158</v>
      </c>
      <c r="B29" s="11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71"/>
      <c r="O29" s="49"/>
      <c r="P29" s="73"/>
      <c r="Q29" s="73"/>
      <c r="R29" s="73"/>
      <c r="S29" s="73"/>
      <c r="T29" s="71">
        <f aca="true" t="shared" si="5" ref="T29:T34">O29</f>
        <v>0</v>
      </c>
    </row>
    <row r="30" spans="1:20" ht="34.5" customHeight="1">
      <c r="A30" s="121" t="s">
        <v>159</v>
      </c>
      <c r="B30" s="113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73"/>
      <c r="O30" s="49"/>
      <c r="P30" s="73"/>
      <c r="Q30" s="73"/>
      <c r="R30" s="73"/>
      <c r="S30" s="73"/>
      <c r="T30" s="71">
        <f t="shared" si="5"/>
        <v>0</v>
      </c>
    </row>
    <row r="31" spans="1:20" ht="23.25" customHeight="1">
      <c r="A31" s="114" t="s">
        <v>160</v>
      </c>
      <c r="B31" s="11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73"/>
      <c r="O31" s="73"/>
      <c r="P31" s="73"/>
      <c r="Q31" s="73"/>
      <c r="R31" s="73"/>
      <c r="S31" s="73"/>
      <c r="T31" s="71">
        <f t="shared" si="5"/>
        <v>0</v>
      </c>
    </row>
    <row r="32" spans="1:20" ht="24.75" customHeight="1">
      <c r="A32" s="54" t="s">
        <v>161</v>
      </c>
      <c r="B32" s="4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>
        <v>71</v>
      </c>
      <c r="P32" s="44"/>
      <c r="Q32" s="44"/>
      <c r="R32" s="44"/>
      <c r="S32" s="44"/>
      <c r="T32" s="87">
        <f t="shared" si="5"/>
        <v>71</v>
      </c>
    </row>
    <row r="33" spans="1:20" ht="24.75" customHeight="1">
      <c r="A33" s="50" t="s">
        <v>162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>
        <v>50</v>
      </c>
      <c r="P33" s="44"/>
      <c r="Q33" s="44"/>
      <c r="R33" s="44"/>
      <c r="S33" s="44"/>
      <c r="T33" s="87">
        <f t="shared" si="5"/>
        <v>50</v>
      </c>
    </row>
    <row r="34" spans="1:20" ht="28.5" customHeight="1">
      <c r="A34" s="115" t="s">
        <v>163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87">
        <f t="shared" si="5"/>
        <v>0</v>
      </c>
    </row>
    <row r="35" spans="1:22" ht="66.75" customHeight="1">
      <c r="A35" s="116" t="s">
        <v>164</v>
      </c>
      <c r="B35" s="117">
        <v>1403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>
        <f>O29+O30+O31+O32+O33+O34</f>
        <v>121</v>
      </c>
      <c r="P35" s="102"/>
      <c r="Q35" s="102"/>
      <c r="R35" s="102"/>
      <c r="S35" s="102"/>
      <c r="T35" s="104">
        <f>SUM(C35:S35)</f>
        <v>121</v>
      </c>
      <c r="V35" s="118"/>
    </row>
    <row r="36" spans="1:23" ht="18.75" customHeight="1">
      <c r="A36" s="85" t="s">
        <v>84</v>
      </c>
      <c r="B36" s="77"/>
      <c r="C36" s="80">
        <f>C9+C11+C13+C15+C17+C19+C24+C28+C35</f>
        <v>2515.37</v>
      </c>
      <c r="D36" s="80">
        <f aca="true" t="shared" si="6" ref="D36:S36">D9+D11+D13+D15+D17+D19+D24+D28+D35</f>
        <v>759.6400000000001</v>
      </c>
      <c r="E36" s="80">
        <f t="shared" si="6"/>
        <v>87</v>
      </c>
      <c r="F36" s="80">
        <f t="shared" si="6"/>
        <v>15.9</v>
      </c>
      <c r="G36" s="80">
        <f t="shared" si="6"/>
        <v>30</v>
      </c>
      <c r="H36" s="80">
        <f t="shared" si="6"/>
        <v>513.91</v>
      </c>
      <c r="I36" s="80">
        <f t="shared" si="6"/>
        <v>0</v>
      </c>
      <c r="J36" s="80">
        <f t="shared" si="6"/>
        <v>388</v>
      </c>
      <c r="K36" s="80">
        <f t="shared" si="6"/>
        <v>86.5</v>
      </c>
      <c r="L36" s="80">
        <f t="shared" si="6"/>
        <v>0</v>
      </c>
      <c r="M36" s="80">
        <f t="shared" si="6"/>
        <v>0</v>
      </c>
      <c r="N36" s="80">
        <f t="shared" si="6"/>
        <v>0</v>
      </c>
      <c r="O36" s="80">
        <f t="shared" si="6"/>
        <v>121</v>
      </c>
      <c r="P36" s="80">
        <f t="shared" si="6"/>
        <v>0</v>
      </c>
      <c r="Q36" s="80">
        <f t="shared" si="6"/>
        <v>50</v>
      </c>
      <c r="R36" s="80">
        <f t="shared" si="6"/>
        <v>71</v>
      </c>
      <c r="S36" s="80">
        <f t="shared" si="6"/>
        <v>235.39</v>
      </c>
      <c r="T36" s="86">
        <f>T9+T11+T13+T15+T17+T19+T24+T28+T35</f>
        <v>5034.11</v>
      </c>
      <c r="U36" s="76"/>
      <c r="V36" s="118"/>
      <c r="W36" s="76"/>
    </row>
    <row r="37" spans="1:20" ht="12">
      <c r="A37" s="41" t="s">
        <v>144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73">
        <v>551.8</v>
      </c>
    </row>
    <row r="38" spans="1:20" ht="22.5">
      <c r="A38" s="83" t="s">
        <v>149</v>
      </c>
      <c r="B38" s="81"/>
      <c r="C38" s="44"/>
      <c r="D38" s="44"/>
      <c r="E38" s="44"/>
      <c r="F38" s="44"/>
      <c r="G38" s="44"/>
      <c r="H38" s="44"/>
      <c r="I38" s="44"/>
      <c r="J38" s="44"/>
      <c r="K38" s="82"/>
      <c r="L38" s="44"/>
      <c r="M38" s="44"/>
      <c r="N38" s="44"/>
      <c r="O38" s="44"/>
      <c r="P38" s="44"/>
      <c r="Q38" s="44"/>
      <c r="R38" s="44"/>
      <c r="S38" s="44"/>
      <c r="T38" s="73">
        <v>2363</v>
      </c>
    </row>
    <row r="39" spans="1:20" ht="22.5">
      <c r="A39" s="83" t="s">
        <v>145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73">
        <v>1093</v>
      </c>
    </row>
    <row r="40" spans="1:20" ht="33.75">
      <c r="A40" s="83" t="s">
        <v>165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73">
        <v>119.8</v>
      </c>
    </row>
    <row r="41" spans="1:20" ht="25.5" customHeight="1">
      <c r="A41" s="83" t="s">
        <v>146</v>
      </c>
      <c r="B41" s="4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71">
        <v>73.3</v>
      </c>
    </row>
    <row r="42" spans="1:20" ht="12">
      <c r="A42" s="41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73">
        <v>0</v>
      </c>
    </row>
    <row r="43" spans="1:20" ht="22.5">
      <c r="A43" s="83" t="s">
        <v>150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73">
        <v>805.7</v>
      </c>
    </row>
    <row r="44" spans="1:20" ht="12">
      <c r="A44" s="81" t="s">
        <v>147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4">
        <f>T37+T38+T39+T41+T42+T43+T40</f>
        <v>5006.6</v>
      </c>
    </row>
    <row r="45" spans="1:20" ht="12">
      <c r="A45" s="41" t="s">
        <v>148</v>
      </c>
      <c r="B45" s="44"/>
      <c r="C45" s="44"/>
      <c r="D45" s="44"/>
      <c r="E45" s="44"/>
      <c r="F45" s="44"/>
      <c r="G45" s="44"/>
      <c r="H45" s="44"/>
      <c r="I45" s="59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75">
        <f>T44-T36</f>
        <v>-27.50999999999931</v>
      </c>
    </row>
    <row r="47" ht="11.25">
      <c r="D47" s="76"/>
    </row>
    <row r="48" spans="1:19" ht="12.75">
      <c r="A48" s="35" t="s">
        <v>166</v>
      </c>
      <c r="E48" s="60" t="s">
        <v>167</v>
      </c>
      <c r="S48" s="76"/>
    </row>
    <row r="49" ht="11.25">
      <c r="R49" s="76"/>
    </row>
    <row r="51" spans="19:20" ht="11.25">
      <c r="S51" s="76"/>
      <c r="T51" s="76"/>
    </row>
    <row r="52" ht="11.25">
      <c r="T52" s="76"/>
    </row>
  </sheetData>
  <sheetProtection/>
  <mergeCells count="8">
    <mergeCell ref="A2:H2"/>
    <mergeCell ref="S4:T4"/>
    <mergeCell ref="A5:A6"/>
    <mergeCell ref="B5:B6"/>
    <mergeCell ref="C5:E5"/>
    <mergeCell ref="F5:K5"/>
    <mergeCell ref="M5:N5"/>
    <mergeCell ref="R5:S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2012-12-27T00:14:05Z</cp:lastPrinted>
  <dcterms:created xsi:type="dcterms:W3CDTF">2005-12-09T01:01:45Z</dcterms:created>
  <dcterms:modified xsi:type="dcterms:W3CDTF">2013-08-13T23:04:53Z</dcterms:modified>
  <cp:category/>
  <cp:version/>
  <cp:contentType/>
  <cp:contentStatus/>
</cp:coreProperties>
</file>